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C6A95FDA-38F1-4789-B269-5A6108B4123F}"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63" i="2" l="1"/>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<sst xmlns="http://schemas.openxmlformats.org/spreadsheetml/2006/main" count="40491" uniqueCount="10846">
  <si>
    <t>Índice onomástico anual · Gacetas oficiales de 1818</t>
  </si>
  <si>
    <t>Del 1 de enero al 31 de diciembre de 1818 · Gaceta de Madrid</t>
  </si>
  <si>
    <t>Aviso: índice generado a partir del OCR de facsímiles históricos. Las grafías y lecturas dudosas deben cotejarse con la página enlazada.</t>
  </si>
  <si>
    <t>4459 menciones · 159 archivos oficiales · 1316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</si>
  <si>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</si>
  <si>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</si>
  <si>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</si>
  <si>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</si>
  <si>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</si>
  <si>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</si>
  <si>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</si>
  <si>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</si>
  <si>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</si>
  <si>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</si>
  <si>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</si>
  <si>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Francisca</t>
  </si>
  <si>
    <t>Francisca A</t>
  </si>
  <si>
    <t>Mención en noticia o disposición</t>
  </si>
  <si>
    <t>Noticias y disposiciones</t>
  </si>
  <si>
    <t>Gaceta de Madrid n.º 47</t>
  </si>
  <si>
    <t>PDF p. 7</t>
  </si>
  <si>
    <t>Lectura automática dudosa; cotejar el facsímil</t>
  </si>
  <si>
    <t>…idad á- impulso de Tos fieles va sallos de S» M. La que comunico á V. E. para su superior conocimiento. ,, Dios guarde á V. E. muchos años. Toluca y Noviembre 2 de 1817.=: Excmo.. Sr. Francisca A randia.=. Exento. Sr» virey D. Juan Ruiz de Apodaca.** Madrid 1 y de Abril. En el sorteo dé la Real lotería moderna celebrado el dia 15 del corriente salieron sorteados con ios premios mayores los números siguientes:. Números.. Premios.. Administraciones. 20…</t>
  </si>
  <si>
    <t>Revisar OCR</t>
  </si>
  <si>
    <t>A, Miguel de Castro y</t>
  </si>
  <si>
    <t>Miguel de Castro y A</t>
  </si>
  <si>
    <t>Operaciones o servicios militares</t>
  </si>
  <si>
    <t>Noticias militares</t>
  </si>
  <si>
    <t>Gaceta de Madrid n.º 19</t>
  </si>
  <si>
    <t>PDF p. 4</t>
  </si>
  <si>
    <t>…. A. R. ha hecho el viage de Moscpw á Varsovia en trineos, con un frió de 20 grados bajo de cero. ESPAÑA. Mérida de Yucatán € de Agosto. El nuevo capitán general de esta provincia D. Miguel de Castro y A raez aeaba de publicar una proclama enérgica, en que después de encarecer la suma fidelidad de estos habitantes, é indicar las incalculables ventajas que les ha acarreado su conducta leal y pacífica , les dice lo siguiente: ? „Ved ahora, amables yucatecos, si…</t>
  </si>
  <si>
    <t>Abadía, Francisco Antonio</t>
  </si>
  <si>
    <t>Francisco Antonio Abadía</t>
  </si>
  <si>
    <t>Actividad económica o mercantil</t>
  </si>
  <si>
    <t>Gaceta de Madrid n.º 8</t>
  </si>
  <si>
    <t>68</t>
  </si>
  <si>
    <t>Nombre detectado automáticamente; cotejar si se va a citar</t>
  </si>
  <si>
    <t>…mán, los Sres. Alzueta y Beratarrechea, D. Rafael Rodríguez, D. Juan de Dios Elias, los Sres. Bohe, hermanos y compañía, D. Mariano de Urbieta, D. Josef Uhicon, D. Ignacio Suarez, D. Francisco Antonio Abadía, Doa Mariano Gil y D. Josef Vilar, últimos tenedores de 32 vales Reales; 15 de ellos de 150 pesos, creación de Enero de 1808, con los números 23*689, 245110, 252506, 253818, 255204, 264499, 269131, 273684 , 283688 , 287576* 288287, 292535, 307906, 321387, 338…</t>
  </si>
  <si>
    <t>Lectura OCR</t>
  </si>
  <si>
    <t>Gaceta de Madrid n.º 25</t>
  </si>
  <si>
    <t>216</t>
  </si>
  <si>
    <t>…mán, los Sres. Alzueta y Beratarrechea, D. Rafael Rodríguez, D. Juan de Dios Elias, los Sres. Bohe, hermanos y compañía, D. Mariano de Urbíeta, D. Josef Uhicon, D. Ignacio Suarez, D. Francisco Antonio Abadía, D. Mariano Gil y D. Josef Vilar, últimos tenedores de 32 vales Reales, 15 de ellos de 150 pesos, creación de Enero de 1808, con los números 231689, 245110,252506, 253818, 255204, 264499, 269131, 273684, 283688, 287576, 288287, 292535, 307906, 321387 y 338476…</t>
  </si>
  <si>
    <t>Abarca, Bárbara</t>
  </si>
  <si>
    <t>Bárbara Abarca</t>
  </si>
  <si>
    <t>Gaceta de Madrid n.º 52</t>
  </si>
  <si>
    <t>PDF p. 8</t>
  </si>
  <si>
    <t>…eno del Olmo, vecinos de la ciudad de Bíírgos; á Doña María Antonia de la Puente Herrera, casada con Don Bernardo de Lienares, vecinos del lugar de Bezana,obispado de Santander; á Doña Bárbara Abarca, vecina de la misma ciudad, viuda de D. Josef Ignacio de la Puen te Herrera, como madre, tutora y curadora de Doña María Angela de la Puente Abarca, y D. Martin de Valdivieso Morquecho, vecino del lugar de Muriedás, viudo de Doña.Fermina de la Puente Herrera,…</t>
  </si>
  <si>
    <t>Abarna</t>
  </si>
  <si>
    <t>Gaceta de Madrid n.º 120</t>
  </si>
  <si>
    <t>PDF p. 1</t>
  </si>
  <si>
    <t>…eal marina la Sirena, pasó en el dicho día con tren de gala al Real palacio, acompañado del secretario de embajada D. Manuel de Aguilar, de los caballeros,de. embajada el teniente coronel Abarna, el teniente coronel Spadafora , y deD. Cárlos Perez de Hita, caballero maestrante de Gra nada. Al llegar S. E. á palacio la guardia tomó las armas, y tocó Ja llamada; ios alabarderos guarnecían la escalera, al pie de la cual se hallaba el introductor de emba…</t>
  </si>
  <si>
    <t>Abello, Pedro Villar y</t>
  </si>
  <si>
    <t>Pedro Villar y Abello</t>
  </si>
  <si>
    <t>Gaceta de Madrid n.º 7</t>
  </si>
  <si>
    <t>…l Suarez y Ceuti; D. Josef María Nuñez y Fernandez ; D. Josef Villamil y Uriarte; D. Narciso Ár'espacochaga y Bertendona; D. Josef XJrbina y Daoiz ; D. Josef Sola y del Castillo ; D. Pedro Villar y Abello \ Don Diego Fernandez Carcelen; D. Antonio Lardin y Pinto; D. Antonio Fer* nandez Carcelen; D. Francisco Osorio y Bernal; D. Manuel Marín y Ra mos; D. Juan López y Martínez, y D. Mariano dé la Vega y Romero. Quien quisiere comprar una casa sita eñ el lugar de…</t>
  </si>
  <si>
    <t>Abreu, Rafael de</t>
  </si>
  <si>
    <t>Rafael de Abreu</t>
  </si>
  <si>
    <t>Publicación o actividad intelectual</t>
  </si>
  <si>
    <t>Gaceta de Madrid n.º 139</t>
  </si>
  <si>
    <t>PDF p. 6</t>
  </si>
  <si>
    <t>…nálisis de las palabras, y oración simple en las fábulas de Fedro y cartas de Cicerón; apuntando también como los demas algunas noticias sobre la vida de los auto res de su clase. D. Rafael de Abreu y del Moral, corregidor de esta ciudad, prendado de los adelantamientos de estos jóvenes, que el que mas cuenta dos años de en señanza metódica , ofreció tres libros de pura latinidad proporcionados á ca da cíase para los tres que merecieron la nota de sobres…</t>
  </si>
  <si>
    <t>Acero, Antonio León y</t>
  </si>
  <si>
    <t>Antonio León y Acero</t>
  </si>
  <si>
    <t>Fallecimiento, herencia o memoria</t>
  </si>
  <si>
    <t>Gaceta de Madrid n.º 143</t>
  </si>
  <si>
    <t>…de Antio^uía, en el Nue vo reino de Granada, al M. R. P. Fr. Fernando Cano, del orden de S. Fran cisco: para la dignidad de chantre de la santa iglesia metropolitana de Santa Fe á D. Antonio León y Acero: para la de maestrescuela á D. Juan Moreno y Herrera; y para la de tesorero á D. Plácido.Hernández Domínguez, va-' cantes todas estas dignidades por fallecimiento de los que las obtenían. Igualmente se ha servido S. M. conferir á D. Josef Rafael de los Santos…</t>
  </si>
  <si>
    <t>Acetuno, Luís Bernardo</t>
  </si>
  <si>
    <t>Luís Bernardo Acetuno</t>
  </si>
  <si>
    <t>Nombramiento o servicio público</t>
  </si>
  <si>
    <t>España</t>
  </si>
  <si>
    <t>Gaceta de Madrid n.º 96</t>
  </si>
  <si>
    <t>PDF p. 16</t>
  </si>
  <si>
    <t>…eyó el señor alcalde ordinario de segunda nominación, en la ciudad de Guatemala el 2 de Enero dé ¿818 , aplicó-a los hijos de D. Felijfe Beiútéz úrf legado de 809 pesos , que dejó D. Luís Bernardo Acetuno en su disposición testamentaria, á favor del descendiente ó descendientes legítimos mas necesitados de £&gt;. ‘Francisco Beifitez’, vécinó que fue de la misma ciudad, bajo defianza, para que Si feñ el término -de dos añóS'cómpai*eciere‘én el itíísriió juzgado ot…</t>
  </si>
  <si>
    <t>Acévedo, Guadalupe</t>
  </si>
  <si>
    <t>Guadalupe Acévedo</t>
  </si>
  <si>
    <t>Gaceta de Madrid n.º 134</t>
  </si>
  <si>
    <t>1117</t>
  </si>
  <si>
    <t>…a el mérito de la tropa que tuve el honor de mandar; y yo lo hago en particular con el: sargento de mi compañía Ramón Santoyo, el - cabo de Frontera Sebastian Rosales y el paisano D. Guadalupe Acévedo, quienes se distinguieron en actividad y conducta, siendo de estos el primero quien prendió á Sanmartín. ,,Dios guarde á V. S. muchos años. Hacienda del Refugio Febrero 25 de 1818.=Josef María Vargas. =:Sr. coronel y comandante D. Luis Quintanar." El Exorno.…</t>
  </si>
  <si>
    <t>Acevedo, Pfedro Canel</t>
  </si>
  <si>
    <t>Pfedro Canel Acevedo</t>
  </si>
  <si>
    <t>Gaceta de Madrid n.º 61</t>
  </si>
  <si>
    <t>…icie de la tierra, ó bajo de esta. Al mismo nivel se halla también un cordon muy largo de piedras rodadas, arena dé mar, conchas y otras pro ducciones de la misma especie. El Lie. D. Pfedro Canel Acevedo, vecino y hacendado de dicha villa, íurgeto muy dedicado al estudio de Jas ciencias naturales y de las anttgiTecía.des, después de haber meditado profundamente sobre el particular , y reco.nocido todo aquel terreno, halló por ultimo resultado que dicha poblac…</t>
  </si>
  <si>
    <t>Acha, Josef</t>
  </si>
  <si>
    <t>Josef Acha</t>
  </si>
  <si>
    <t>Gaceta de Madrid n.º 62</t>
  </si>
  <si>
    <t>PDF p. 3</t>
  </si>
  <si>
    <t>…” f 2.0 „Excmo. Sr~: Después de;escrito el adjunto parte he dispuesto qué la mano derecha de Rojas sea colocada ea &lt;ei-mismo sitio en que fusiló al behemérfro capitán de realistas D. Josef Acha, con' los niños que ie acompa— ñaban , cuya sangre inocente clamaba justicia. : 1 Dios guarde it V. E;&lt;muchos «años. Hacienda .del Arenal Enero 22 de x818. = Excnáo.S¿ = Rafael Casasola. = Excmo.Sr. vi rey D.Juan Ruiz de Apodaca.7* HíDULTO DE VARGAS Y SU GA-V…</t>
  </si>
  <si>
    <t>Acha, Josef de</t>
  </si>
  <si>
    <t>Josef de Acha</t>
  </si>
  <si>
    <t>Gaceta de Madrid n.º 14</t>
  </si>
  <si>
    <t>126</t>
  </si>
  <si>
    <t>…Saenz de Viz manos* á D. Josef Ayuso y Navarro, catedrático de prima de leyes jubilado de la ■universidad de Salamanca ; y para el corregimiento de letras de la ciudad de Xijona á D. Josef de Acha. Por Real resolución, á cdnsultá de la Cámara, se ba servido S. M. con ceder la merced de título de Castilla á D. Josef María de Pardo y Neira, re gidor perpetuo y alférez mayor de la ciudad de Lugo, para sí, sus hijos y sucesores legítimos, bajo la denominac…</t>
  </si>
  <si>
    <t>Acuña, Camilo</t>
  </si>
  <si>
    <t>Camilo Acuña</t>
  </si>
  <si>
    <t>…tillería D. Josef Mogro y D. Santos Caravantes : el coronel de milicias Don Francisco González Palma: el capitán del Real cuerpo de ingenieros Don Francisco Alvarez: los capitanes D. Camilo Acuña, D. Manuel Unzueta y D. F rancisco Despot: el ayudante D. Aniceto Valverdet los tenientes Don Juan Ruiz Ordoñez., D. Vicente González y D. Antonio Henriquez: los sub tenientes D. Diego Duran, D. Vicente Benavides y D. Tomas Calvo: el ca pitán D. Manuel Pinuer…</t>
  </si>
  <si>
    <t>Acuña, Salvador</t>
  </si>
  <si>
    <t>Salvador Acuña</t>
  </si>
  <si>
    <t>Actuación administrativa o judicial</t>
  </si>
  <si>
    <t>Gaceta de Madrid n.º 152</t>
  </si>
  <si>
    <t>decibles progresos por el anterior catedrático D. Salvador Acuña, que ha pasado á una de las cátedras del Real seminario de Vergara. El partido de médico de la villa de Yunquera, dos leguas distante de la ciudad de Guadatajara, se halla vacante , su dotación es de ¿9 rs. cobrados por la justicia, y separadamente pagan el c…</t>
  </si>
  <si>
    <t>AdadouroíF</t>
  </si>
  <si>
    <t>Gaceta de Madrid n.º 54</t>
  </si>
  <si>
    <t>…este consejo fueron el montero mayor Mr. Narischkin, el mayor general Moller, el consejero privado y senador conde ChvostofF, el consejero de colegio barón Tscherkassoff, el mayor general AdadouroíF, el preboste de los comerciantes de Petersburgo Joukof. Los individuos del cuerpo de comer ciantes que concurrieron también á este consejo, como elegidos que hablan sido para ello, fueron el consejero de comercio Molw, el negociante de : Vitegorsky, Golachews…</t>
  </si>
  <si>
    <t>Adan, Juan</t>
  </si>
  <si>
    <t>Juan Adan</t>
  </si>
  <si>
    <t>Gaceta de Madrid n.º 45</t>
  </si>
  <si>
    <t>PDF p. 5</t>
  </si>
  <si>
    <t>…rte del comandante y subdelegado D. Antonio de Elias Saenz. „ Excmo. Sr.: Elevo al superior conocimiento de V. E. el parte original que me ha remitido el teniénté coronel graduado D. Juan Adan, á conse cuencia de la cor retía qué hizo en la serranía de S. Martin y Chalco, en persecución de Colín y Germán Reyes. ,,Este último, según las noticias que acabo de recibir, parece ha contra marchado para el rumbo de Calpulalpan, á cuyo comandante le he com…</t>
  </si>
  <si>
    <t>Admazan, Joaquin de</t>
  </si>
  <si>
    <t>Joaquin de Admazan</t>
  </si>
  <si>
    <t>Gaceta de Madrid n.º 5</t>
  </si>
  <si>
    <t>PDF p. 11</t>
  </si>
  <si>
    <t>…de Cíaramonte guia á Carabancbel alto; y por norte con dicho arroyo, tas ada en 39S) rs.; se ha señalado el martes 13 del corriente de 1 2 i una de su miñin a en la audiencia del Sr. D. Joaquin de Admazan , del Consejo de S. M , teniente de corregidor de esta muy heroica villa. Las personas que quieran hacer postura ac udan ante dicho señor juez y escribanía del número de D. Bernarda</t>
  </si>
  <si>
    <t>Adurriaga, Ramón</t>
  </si>
  <si>
    <t>Ramón Adurriaga</t>
  </si>
  <si>
    <t>Gaceta de Madrid n.º 83</t>
  </si>
  <si>
    <t>PDF p. 12</t>
  </si>
  <si>
    <t>…dicho excelentísimo ayun tamiento, para el cumplimiento de lo que S. M. se sirve mandar. De acuerdo del supremo Consejo de las Indias se cita á los herederos ó repre sentantes de D. Ramón Adurriaga, apoderado que fue del difunto reverendo obis po electo y confirmado de Nicaragua, en el reino de Goatemala, D. Juan Josef Pérez del Notario, para que por sí ó por apoderados recurran dentro del término de 40 .días con los documentos competentes ante dicho su…</t>
  </si>
  <si>
    <t>Age</t>
  </si>
  <si>
    <t>Gaceta de Madrid n.º 49</t>
  </si>
  <si>
    <t>PDF p. 2</t>
  </si>
  <si>
    <t>…reino, caballero del orden de los Serafines, gran chambelán y ge fe del segundo regimiento de guardias. Pasaba por el particular mas rico en bienes raíces, y era hermano único del conde Age! deFersen, mariscal del reí-* no, que fue asesinado aqui en el motín de 1810. El 28 de Febrero último propuso* S. M. áda Dieta* de Noruega una ley, cuyo objeto es prohibir á la secta de los cuákeros el avecindarse en ¡a No ruega sin un especial permiso del Re…</t>
  </si>
  <si>
    <t>Agreda, Pedro Prudencio de</t>
  </si>
  <si>
    <t>Pedro Prudencio de Agreda</t>
  </si>
  <si>
    <t>…pal de Correos de Badajoz en el presente año se ha encontrado un vale Real de 300 pesos de i.° de Setiembre de 1809, perteneciente á D. Josef Mateo Gil, quien lo endosa á favor de D. Pedro Prudencio de Agreda , vecino de Viniegra de arriba, su fecha en Bentrosa A6 de Diciembre de 1815, con el correspondiente recibo de 180 rs. y 17 mrs. de sus réditos, dado en la contaduría de Soria en i.° de Setiembre de 1809. Se halla vacante el partido de "cirujano en la villa d…</t>
  </si>
  <si>
    <t>Aguado, Antonio López</t>
  </si>
  <si>
    <t>Antonio López Aguado</t>
  </si>
  <si>
    <t>Gaceta de Madrid n.º 67</t>
  </si>
  <si>
    <t>…pulos, y oyeron con suma benignidad la explicación de los proyectos ó edificios que algunos de ellos habían trazado, contestando á las preguntas que les fue .haciendo, el director D. Antonio López Aguado. Con igual agrado vieron después las obras y dibujos de los discípulos del natural y del yes?, manifestando á los directores de estas salas D. Vicente López y D. Esteban de Agreda^euan satisfechos quedaban de los adelantamientos de los jóvenes que tenían á su…</t>
  </si>
  <si>
    <t>Aguado, Juan</t>
  </si>
  <si>
    <t>Juan Aguado</t>
  </si>
  <si>
    <t>Gaceta de Madrid n.º 141</t>
  </si>
  <si>
    <t>…de Sanlucar de Barrameda : D'. Josef Moreno, D. Manuel Felipe Caballero, D* Gaspar Angulo, D. Josef Gó mez Hormigo y D. Francisco Rodríguez, de Jerez : D. Josef Auñon, de Mo ren : D. Juan Aguado, de las Cabezas: el hermano Josef de la Cruz Menacho, de Puerto-Real: D. Juan Loustalet, de Cádiz: D, Agustín Fernandez, de Bornos: D. Juan Bolaños, de Zalamea: D. Pedro Romero Balmaseda, de Se villa; y D. Manuel Lerena y Caro, de Trebujena. El caballero Espi…</t>
  </si>
  <si>
    <t>Aguado, Tomas Ania y</t>
  </si>
  <si>
    <t>Tomas Ania y Aguado</t>
  </si>
  <si>
    <t>Gaceta de Madrid n.º 65</t>
  </si>
  <si>
    <t>137</t>
  </si>
  <si>
    <t>…ela gratuita del barrio de S. Ildefonso. En iguales términós abrió el señor presidente el segundo; pliego sobre el cual se leía In aspectum, lucemque &amp;c. 9 y se halló ser su autor D. Tomas Ania y Aguado, maestro de la Real escuela gratuita del barrio'de-S, Andrés; en se-</t>
  </si>
  <si>
    <t>Agüero, Gerónimo</t>
  </si>
  <si>
    <t>Gerónimo Agüero</t>
  </si>
  <si>
    <t>Gaceta de Madrid n.º 35</t>
  </si>
  <si>
    <t>…Sr. brigadier y .comandante general O. Ciríaco de Llano/' . Madrid 20 de Marzo. ARTICULO DE OFICIO. El Rey se ha servido nombrar para la vara de alcalde mayor primero de Granada á D. Gerónimo Agüero : para la de Ayamonre^á D. Joatquia Avendañotpara la de Siruela á D. Ramón Carvajal y Trejo:- para la de Casas de Bes á D. Francisco Sánchez Ferrer : para la de Bodonal á D. Ma nuel Arce y Revuelta: para la de Montoro á D. Justo Rodríguez Hurtado4; para la de…</t>
  </si>
  <si>
    <t>Agüero, Josef Joaquín de</t>
  </si>
  <si>
    <t>Josef Joaquín de Agüero</t>
  </si>
  <si>
    <t>Gaceta de Madrid n.º 111</t>
  </si>
  <si>
    <t>…as á regente de la de Chile, á D. Bartolomé Mosquera; y para la asesoría y auditoría del gobierno de Cartagena de Indias, que ha resultado vacante por muerte de D. Josef Murive, á D. Josef Joaquín de Agüero. , i / .■ í » , • ' ■ ¡ * ( El regente de la Real audiencia de Sevilla ha dado cuenta por el ministe rio de Gracia y Justicia del importante servicio que ha hecho el alcalde de ía villa de Montellano Francisco Ramos y León, el cual, auxiliado de 14 pai sanos…</t>
  </si>
  <si>
    <t>Aguerrebere, Pedro</t>
  </si>
  <si>
    <t>Pedro Aguerrebere</t>
  </si>
  <si>
    <t>Gaceta de Madrid n.º 108</t>
  </si>
  <si>
    <t>…as Morales. ■ • El conde de la Granja 6 pesos, D. Pablo Echezuria 10, D. Francisco de Azpurua 20 , D. Juan Santos de Larrazabal 5, D. Josef Jesús Goenaga 10, D. Miguel Martínez 5, D. Pedro Aguerrebere 5, D. Domingo Segura 5 , Don Bartolomé Echenique 5 , D. Toribio Espinosa 20, D. Juan Plá 5 , D. Lo renzo Treillan- 5 , D. Francisco Espelosin 10, D. Miguel Portillo 5 , Don Juan: Hernández 6 , D. Josef Baez 2 , D. Josef Arrese 4, D. Francisco-Ruz 1, D. Josef…</t>
  </si>
  <si>
    <t>Agueto, Gil Gómez de</t>
  </si>
  <si>
    <t>Gil Gómez de Agueto</t>
  </si>
  <si>
    <t>Gaceta de Madrid n.º 90</t>
  </si>
  <si>
    <t>746</t>
  </si>
  <si>
    <t>…te graduado y alférez; de la Victoria D. Benito Rodríguez Boves., qué se distinguió , cómo siempre, por su valor: á mi ayudante de órdenes el alférez de granaderos de la Vic toria D. Gil Gómez de Agueto, que con valor extraordinario comunicó mis* órdenes entre los fuegos del enemigo, habiendo estado ya en manos de estos1 por haberle muerto su caballo. Del regimiento de Castilla al teniente coronel? capitán D. Josef Izturriz , que fue herido cargando al enemi…</t>
  </si>
  <si>
    <t>Aguila, Juana Manso del</t>
  </si>
  <si>
    <t>Juana Manso del Aguila</t>
  </si>
  <si>
    <t>Gaceta de Madrid n.º 117</t>
  </si>
  <si>
    <t>988</t>
  </si>
  <si>
    <t>…de enagenacion de 300S) rs. del capital de 500$ , im puesto en los cinco Gremios mayores de esta corte, que en el año pasado de 1815 ¡otorgó á favor del precitado Alvarez la Sra. Doña Juana Manso del Aguila, religio sa en el Real convento de comendadoras de Santiago en esta corte; en la inteligencia deque pasado dicho término sin haber comparecido se sustanciará dicha demanda en su ausencia y rebeldía en los estrados de la audiencia, y les parará el perjuicio qu…</t>
  </si>
  <si>
    <t>Aguilar, Manuel de</t>
  </si>
  <si>
    <t>Manuel de Aguilar</t>
  </si>
  <si>
    <t>…bía trasladado á Palermo á bordo de la fra gata de guerra de la Real marina la Sirena, pasó en el dicho día con tren de gala al Real palacio, acompañado del secretario de embajada D. Manuel de Aguilar, de los caballeros,de. embajada el teniente coronel Abarna, el teniente coronel Spadafora , y deD. Cárlos Perez de Hita, caballero maestrante de Gra nada. Al llegar S. E. á palacio la guardia tomó las armas, y tocó Ja llamada; ios alabarderos guarnecían la es…</t>
  </si>
  <si>
    <t>Aguilera, Josef</t>
  </si>
  <si>
    <t>Josef Aguilera</t>
  </si>
  <si>
    <t>Gaceta de Madrid n.º 85</t>
  </si>
  <si>
    <t>…os un muerto y 8 heridos. ,, A consecuencia seguí mi marcha, llegando al punto de S. Pedro como n las 7 de la noche, hora en que acababa aquel comandante teniente coronel graduado.D. Josef Aguilera de rechazar y poner en dispersión á los bandi dos , por lo que nada tuve que hacer en ésta parte. - ,, Incluyo á vmd. el parte original que me ha dado el teniente coronel E). Josef Aguilera, por el cual notará vmd. la gloriosa defensa que hizo y te nacidad de…</t>
  </si>
  <si>
    <t>Aguirre</t>
  </si>
  <si>
    <t>Gaceta de Madrid n.º 81</t>
  </si>
  <si>
    <t>…á este mando, ha mandado S. E. se anuncie al público con salva de artillería y repique de campanas en general *, y espera con impaciencia los partes circunstanciados que ofrece el Sr. Aguirre para premiar en nombre del Rey nuestro Señor á los gefes, oficiales é individuos de tropa que se hubiesen distinguido, concediendo desde luego el grado de capitán al oficial que ha traído tan importante noticia, recomendado tan particularmente por su gefe, y…</t>
  </si>
  <si>
    <t>Gaceta de Madrid n.º 115</t>
  </si>
  <si>
    <t>…ingreso á este mando, ha mandado se anuncie al publico con salva de artillería y repique general de campanas ; y espera con impaciencia los par tes circunstanciados que ofrece el coronel Aguirre para premiar en nombre del Rey nuestro Señor á los gefes, oficiales é individuos de tropa que se hubie?sen distinguido, concediendo desde, luego el grado de capitán al oficial qiie ha traido tan importante noticia, recomendado particularmente, por su gefe, y…</t>
  </si>
  <si>
    <t>Aguirre, Agustín</t>
  </si>
  <si>
    <t>Agustín Aguirre</t>
  </si>
  <si>
    <t>Gaceta de Madrid n.º 12</t>
  </si>
  <si>
    <t>97</t>
  </si>
  <si>
    <t>…mo. Sr.: En este mismo momento, que son las tres de la tarden acabo de recibir el adjunto pliego, que dirijo á V. E. luego luego á toda di ligencia, que me ha sido remitido por el capitán D. Agustín Aguirre desde Celayacon la importantísima noticia de haber sido cogido el traidor Mina pót el coronel D. Francisco de Orrantía, quien entró en Silao ayer á las siete de la mañana, incluyéndole á V. E. igualmente el oñcio que me remite del coronel D. Juan Pesquera. „…</t>
  </si>
  <si>
    <t>Aguirre, Agustín de</t>
  </si>
  <si>
    <t>Agustín de Aguirre</t>
  </si>
  <si>
    <t>…error á los demas insurgentes. „Dios guarde á V; E. muchos años* Queretaro 29 de Octubre de 1817.= Excmo. Sr.=Rafael Bracho. = Excmo. Sr. virey D. Juan Ruiz de Apodaca.” Parte del capitán D. Agustín de Aguirre. „ Remito á V\ E. el adjunto pliego de la mayor importancia que acabo de recibir para el Excmo. Sr.. virey, y suplico lo dirija inmediatamente. „E1 expresado pliego contiene la interesantísima noticia de haber cogido vivo al traidor Mina, á íos dos Herreras,…</t>
  </si>
  <si>
    <t>Aguirre, Matías Martin y</t>
  </si>
  <si>
    <t>Matías Martin y Aguirre</t>
  </si>
  <si>
    <t>Gaceta de Madrid n.º 46</t>
  </si>
  <si>
    <t>…á la partida» y espero.la¿aprpbacion dé V*.S«;.&lt;.;. i: b ... ¡r= c. ri ,,Dios guarde á ,V. S. muchos años, Querendaro 29 de Setiembre de 1817.» Josef María Eructo de Olmos. == Sr. coronel D. Matías Martin y Aguirre,” ; Haro 2 y de Marzo. El ayuntamiento .de esta villa, enterado de los adelantamientos rápidof quehabianhecholo^jóvene^ alumnos dé los, estudios de matemáticas estable cidos hnjo su protección, y dirigidos por eb profesor de; las mismas ;D. Ig nacio Romaza ,…</t>
  </si>
  <si>
    <t>…superiores manos de V. E. por extraordinario los adjuntos oñcios en pequeño-que aca» bo de recibir ahora, que serán las 10 de la amañaríadel comandante gene ral de esta provincia coronel D. Matías Martin y Aguirre, por los que vera V. E. el estado en que se hallaba á aquella fecha el sitio de Jaujílla , y la derrota tan gloriosa para las armas del Rey .que dió el teniente coronel Don Vicente Lara al infame P. Torres, debiéndose esperar por:momentos la des trucción tota…</t>
  </si>
  <si>
    <t>Gaceta de Madrid n.º 154</t>
  </si>
  <si>
    <t>1277</t>
  </si>
  <si>
    <t>…guarde á V. E. muchos años. San Luis Potosí Junio 16 de 1818.= Excmo. SrzzManuel María de Torres. = Excmo. Sr. virey D. Juan Ruiz de Apodaca.” VALLADOLID. Del coronel y comandante general D. Matías Martin y Aguirre. „ Excmo. Sr.: En la presente semana no ha ocurrido novedad en esta pro vincia de mi cargo.</t>
  </si>
  <si>
    <t>Aguirre, Matías'Martin y</t>
  </si>
  <si>
    <t>Matías'Martin y Aguirre</t>
  </si>
  <si>
    <t>…protección decidida con que el cielo favorece el feliz gobierno de V. Ir., á sus sabias, activas y acertadas providencias, al infatigable trabajo de este se ñor comandante general coronel D. Matías'Martin y Aguirre, y ai valor de los valientes oficiales y soldados de la división de su mando. Dios guarde a "V. E. muchos años. Valladolid Marzo B de 1818. = Excmo. Sr. = Josef de Castro. =:Excmo. Sr. virey D. Juan Ruiz de Apodaca.” S. E. ha mandado dar las gracias á este ge…</t>
  </si>
  <si>
    <t>Aguirrei, Matías Martin y</t>
  </si>
  <si>
    <t>Matías Martin y Aguirrei</t>
  </si>
  <si>
    <t>…adolid 8 de Febrero de 1818 á las 10 y media de la mañana.= Excmo. Sr. = Josef de Castro.= Excel eu4&gt; tísimo Sr. virey D. Juan Ruiz de Apodaca.” &gt; Oficios del coronel y comandante general D. Matías Martin y Aguirrei 1.® ,, Excmo.;Sr.: Por varios confidentes sabia qúe ?el obcecado cabe-* cilla P. Torres reunía las gavillas del Bagío, Huerta y otras para: atacarme y franquear la fuga á los rebeldes de este fuerte, con cuyas noticias estabá prevenido,y mandé salir en la mañ…</t>
  </si>
  <si>
    <t>Aguirrer, Matías Martin y</t>
  </si>
  <si>
    <t>Matías Martin y Aguirrer</t>
  </si>
  <si>
    <t>Gaceta de Madrid n.º 37</t>
  </si>
  <si>
    <t>…"Del comandante accidental de Valladolid sargento mayor JO. Jasef Castra. ,? Excmo. Sr.: Con fecha io del corriente me dice desde Pátzcuro et comandante general de ésta provincia, coronel D. Matías Martin y Aguirrer que habiendo hecho una marcha rápida al pueblo de Puroándiro y sus inmé*diaciones, con la idea de sorprender á los vocales de la ridicula infame junta de rebeldes Ayala y Tercero, que salieron del fuerte de Jaujilla para dicho pueblo, de donde marcharon dos d…</t>
  </si>
  <si>
    <t>Agus</t>
  </si>
  <si>
    <t>Gaceta de Madrid n.º 1</t>
  </si>
  <si>
    <t>…e admitirán siendo arregladas. Por la subdelegacion general de bienes mostrencos, vacantes y abintestatos se venden los bienes de que se componían las dos vinculaciones que poseyó Doña Agus tina de Udaeta y Ramírez, vecina que fue de la villa de Esqutvhr¡r, qne som una casa principal en la calle que desde la plaza pública de dicha villa baja á la plaza de ¿u ¡¿leda parroquial, compuesta de las piezas y oficinas necesarias para un labrador,</t>
  </si>
  <si>
    <t>Gaceta de Madrid n.º 13</t>
  </si>
  <si>
    <t>…or, y por la extraordinaria actividad con que acudieron á todas partes, contra yendo en este dia muy buenos servicios. „ El valiente comandante, accidental del batallón de Granada D. Agus tín Nogueras, que se distinguió á la cabeza de él, fue herido, y el teniente del mismo cuerpo D. Agustin Lázaro. También han sido heridos el ayu dante D. Víctor Urquiza, y el subteniente D. Juan Santiago, del regimiento de la Union , el teniente de Búrgos D.…</t>
  </si>
  <si>
    <t>Agustín</t>
  </si>
  <si>
    <t>Gaceta de Madrid n.º 9</t>
  </si>
  <si>
    <t>…e Tepic procuraron atraerlos á que impetrasen la insinuada gracia, que se les concedió, habiendo contribui do también á este feliz resultado el cura de la referida ciudad de Tepic Don Agustín de la Pe ña, el presbítero D. Santiago Mariano Jaime y D. Ildefonso Rivas, en los términos que expresan ambos partes. „ Si, corno me persuado por los antecedentes que han intervenido, es ver* dadero el arrepentimiento de los mencionados indios, no deja de ser…</t>
  </si>
  <si>
    <t>…do es en algo a preciable por la tranquilidad que probablemente debe seguirse asi en la* sierra como en el-camino real de la costa, tanto es debido al buen zelo de los presbíteros D. Agustín de la Pe-* ña y D Santiago Marino Jaime, como al manifiesto ertípeño que tomó en el particular, con evidente sacrificio de su propio peculio , D. Ildefonso Rivas, vecino de esta ciudad. Todo lo cual pongo en noticia de V. E. para su su perior conocimiento.</t>
  </si>
  <si>
    <t>…l exterminio ;de rtodos: ellos. r: : ’ ... ,,Lo que participo á vmd. para su conocimiento. Dios guardeá vmd. muí dios años. Tecpan Enero 23 de i8i8. = Diego García. = Sr. teniente coronel D. Agustín de: la Viñá.” Parte del teniente coronel graduado JD. Josef Aguilera. r ,, A la madrugada de ayer, al toque de diana, se me presentaron los re-í beldes'en este punto en número considerable, según se vio por el reconoci miento que hice con el subteniente D. Ma…</t>
  </si>
  <si>
    <t>Gaceta de Madrid n.º 101</t>
  </si>
  <si>
    <t>…00 estadales, tasado en 17300 rs.: otro olivar de caber95 olivas grandes, en dos fanegas y.media de .tierra, en el pago déla Solana, tasado en 3990 rs.: otra,olivar que. llaman de D. Agustín , al.pago de Limosin, de caber 2j olivas gran des.,; ep 2800 estadales de tierra , tasado en 15179 rs.: otro olivar, que llaman de La ma., al camino de Arroyo-seco, de caber 54 olivas grandes, en fanega y mediade, tierra, tasado en 39 rs.; y una tierra en el…</t>
  </si>
  <si>
    <t>Gaceta de Madrid n.º 156</t>
  </si>
  <si>
    <t>1296</t>
  </si>
  <si>
    <t>…'práctica conforme á los últimos adelanta mientos hechos «n esta ciencia ,• y á las mejores prácticas agrarias de las demás nacio nes de Europa, publicado con Real aprobación &lt;por D. Agustín de.Quinto, acudirán en Madrid á la librería de Sojo á recoger el tomo 3.0 y último, que trata de lá moral del labrador. Esta obra apréciable, fruto dé mucha lectura, observaciones y viages, está escrita con mucho método., claridad y hermosura de estilo:,.los…</t>
  </si>
  <si>
    <t>Agustín, Antonio</t>
  </si>
  <si>
    <t>Antonio Agustín</t>
  </si>
  <si>
    <t>Noticia política o diplomática</t>
  </si>
  <si>
    <t>…pliego de marca, mayor, zzzTercero: Hernán Cortes, Garcilaso de la Vega, D. Alonso de Ercilla, D. Pedro Calderón de la Barca, Miguel de Cervantes Saavedra, y D. Josef Patino: 4.a D. Antonio Agustín, D. Sancho Davila, D Juan de Austria, D. Alvaro de Bazan , Antonio de Nebrija, y Pedro Me»nendez de Aviles: 5.0 D. Juan de Austria, Fr. Luis de Granada, Martin de Azpilcueta, Pedro Chacón, D. Bernardino de Rebolledo, y D. Luis de Góngora. con tinuará. ) En el…</t>
  </si>
  <si>
    <t>Agustín, Juan</t>
  </si>
  <si>
    <t>Juan Agustín</t>
  </si>
  <si>
    <t>Gaceta de Madrid n.º 128</t>
  </si>
  <si>
    <t>…el Fernandez de los. Ríos, del Consejo dé S. M.,. teniente corregidor de esta muy heroica villa, está, declarado que para, cumplir. Don Matías. Pecina, con. las, funciones del Sr; D. Juan Agustín deBaquijano „ conde dé</t>
  </si>
  <si>
    <t>Agutrre</t>
  </si>
  <si>
    <t>Gaceta de Madrid n.º 60</t>
  </si>
  <si>
    <t>…mérito. • r (1) E! que se insertó en la gaceta anterior, artículo de México. (2) Este individuo fue indulta do en Mayo de! año próximo pasado, é hizo una campaña á las órdenes del coronel Agutrre, y se le atendió por este superior Go bierno ademas del inculto, no obstante haber sido e! feroz comisionado del rebel de Hidalgo* para las atrocidades egreutadas en las provincias de Vallr^blM y GuadaSajara ; y luego que llegó á este reino-el traidor Mina de…</t>
  </si>
  <si>
    <t>Ahsaldo, Rafael</t>
  </si>
  <si>
    <t>Rafael Ahsaldo</t>
  </si>
  <si>
    <t>Gaceta de Madrid n.º 72</t>
  </si>
  <si>
    <t>…ncisco Mafia-Sánchez Castilla', alcalde mayor de Plaseocia; pafa esta vara á D. Miguel Calveton; para la de Menasalbas á D. Veremundo Medrano; para la; dé Orel lana de la Sierra á D. Rafael Ahsaldo ; para la de Castellar á D. Pedro Alcántara Corrales, y para la del cíesJtoblado Casa Castillo y Montes dé A lamín á 0. Gabriel Moy a dé la Torre. 4 Por resolución á consultas dél consejo de las Ordenes militares se ha ser vido el Ré y nombrar á D. Josef Anto…</t>
  </si>
  <si>
    <t>Aíi</t>
  </si>
  <si>
    <t>…or su aplicación y aprove-c chamiento durante todo el curso , han sido el teniente del Real cuerpo de ar-í tiííería D. Alejandro Olivan * el discípulo déhReálí colegio de,Farmacia&gt;D. Aíi~ tónio Moreno, y el álférez ?de fragata de la Real Armada D. Saturninoi Mond tojo; y después de estos Jos-Sres. D. Joaquín Blake y.subteniente áspiránte al ¿Real cuerpo de ingenieros., D* Manuel Pose, alférez del Real cuerpo de&lt;ii*± genieros ae la Armada, D.…</t>
  </si>
  <si>
    <t>Áiix, Juan</t>
  </si>
  <si>
    <t>Juan Áiix</t>
  </si>
  <si>
    <t>Gaceta de Madrid n.º 22</t>
  </si>
  <si>
    <t>…s de un riesgo ya experi mentado en el rigor del frió y calor de las estaciones propias; y por último que el médico director por S. M. de dichas aguas y baños minerales de Archena D. Juan Áiix residijrá eu este punto durante las dos épocas señaladas, y fuera de ellas en la ciudad de Murcia , para que puedan consultarle con fruto desde sus casas los sugetos que se hallen en el caso de creer ó presumir que puede serles útil para la curación ó alivio…</t>
  </si>
  <si>
    <t>Aimazan, Joaquín</t>
  </si>
  <si>
    <t>Joaquín Aimazan</t>
  </si>
  <si>
    <t>…300 pesos, creación de i.° de Setiembre de 1808, núms. 69484, 69927 y 70125 , pertenecientes á D. Josef Mariano de Gandásegui, vecino de la villa de Bilbao, se acudió por este al Sr. D. Joaquín Aimazan, deí Consejo de S. M., teniente corregidor de esta muy heroica villa, y escri-: banía del numero de D. Antonio Villa y Fernandez, y á su instancia con fecha 14 de Febrero de 1815 se libró despacho al pueblo donde residiese la Doña Dominga' Asanco, á fin de qu…</t>
  </si>
  <si>
    <t>Aímazan, Joaquín de</t>
  </si>
  <si>
    <t>Joaquín de Aímazan</t>
  </si>
  <si>
    <t>Gaceta de Madrid n.º 74</t>
  </si>
  <si>
    <t>6ii ' Por providencia del Sr. D. Joaquín de Aímazan, teniente de corregidor de esU . tnüy heroica villa; y escribanía: dé 1 ¡número de D. Anselmo Ordoñez, se ha manda do que respecto á estar entendiendo sóbre la aprehensión de unas porciones de plata de peso de 42 onzas, con inclusión del hierro, que tienen, y…</t>
  </si>
  <si>
    <t>Aivarado.se, Reyes</t>
  </si>
  <si>
    <t>Reyes Aivarado.se</t>
  </si>
  <si>
    <t>Gaceta de Madrid n.º 99</t>
  </si>
  <si>
    <t>837</t>
  </si>
  <si>
    <t>…ron 18 carabineros, con tal denuedo, que no les permitieron hacer mas que una descarga, yen el instante Ies mataron 10 hombres, y cogieron 51 pa sioneros con mas de 50 fusiles. El capitán Reyes Aivarado.se ha hecho digno* de toda consideración, por ser el primero que envolvió á los enemigos., como.; igualmente mi ayudante, de campo P. Miguel. Carrion y Azopardo, que vo luntariamente se había venido con las guerrillas, y contribuyó en gran parte*, con sus dispos…</t>
  </si>
  <si>
    <t>Aivarez, Josef Francisco</t>
  </si>
  <si>
    <t>Josef Francisco Aivarez</t>
  </si>
  <si>
    <t>Gaceta de Madrid n.º 133</t>
  </si>
  <si>
    <t>1012</t>
  </si>
  <si>
    <t>…r de esta muy heroica villa, por la escribanía de número de D. Claudio Sanz, á deducir y exponer lo que á su derecho convenga contra la reclamación que á los dichos vales ha hecho D. Josef Francisco Aivarez;, vecino de esta corte; apercibidos de que pasado el referido término sin mas citarles., ni emplazarles, se procederá á lo que haya lugar, y les parará entero perjuicio. Siendo preciso y urgente practicar una diligencia interesante .á los legatarios vita lici…</t>
  </si>
  <si>
    <t>Al, Josef</t>
  </si>
  <si>
    <t>Josef Al</t>
  </si>
  <si>
    <t>Gaceta de Madrid n.º 78</t>
  </si>
  <si>
    <t>642</t>
  </si>
  <si>
    <t>…de, júbilo, que en la 'exaltación de su entusiasmo asomaba ai ísemblante de tánr. tos tiomofes amantes'de su:patria. ^ •’ ,&gt; ■ . Distribuyéronse los premios que la generosidad del coronel D. Josef Al?, -faro,rqtíé presidía el acto como corregidor de esta ¡ciudad, ia del.teniente coronel retirado. D.: Diego Casasoía, y algún otro franqueo en unión con los fondós del establecimiento, como lauro merecido por tan apreciables jóvenes; 'más como todos á porfía…</t>
  </si>
  <si>
    <t>Al, Juan</t>
  </si>
  <si>
    <t>Juan Al</t>
  </si>
  <si>
    <t>Gaceta de Madrid n.º 122</t>
  </si>
  <si>
    <t>1028</t>
  </si>
  <si>
    <t>…dada del escribano de provincia y comisiones de. la misma D. Luis López de Castro, se cita, llama y em plaza, por término de o días contados desde esta publicación en ía gaceta, á Don Juan Al. Sivilla, su? hijos, herederos y sucesores,. para que por sí, ó por medio de procurador qón poder bastante sé“ muestren: parte en el expediente formado por Don Francisco Carro', vecino de la villa de Baena, sobre reintegro de lin vale Real dé ^00.pesos dé la…</t>
  </si>
  <si>
    <t>Al, Reyes</t>
  </si>
  <si>
    <t>Reyes Al</t>
  </si>
  <si>
    <t>Gaceta de Madrid n.º 91</t>
  </si>
  <si>
    <t>…á las órdenes M capitán graduado de teniente coronel D. Ramón García. La formación de nuestra caballería era la de columna por mitades. La compañía de flanqueadores mandada por su capitán Reyes Al varado ocupaba todo él frenté ét? guerrillas. En éste estado ; luego qué acabó de aclarar , nos hallamos á medid tiró de canon unos dé otros. Nuestra línea se pusp en movimiento sufrie’ndS tín terrible fuego; pero á estas valientes tropas rió' Ies arredró ril…</t>
  </si>
  <si>
    <t>Ala, Ignacio</t>
  </si>
  <si>
    <t>Ignacio Ala</t>
  </si>
  <si>
    <t>…solemnes exequias por jos. caballeros di-r funtos; cuya oración fúnebre pronunció el presbítero. E). Agustín Aguádos cura de Humera, tributando á las cenizas de losExcmos. Sres. -D. Ignacio Ala va, conde de Noroña, duque de Alburquerque y marques de la Romana y* otros militares ilustres los elogios debidos á sus virtudes, y haciendo sobré ellas reflexiones tan cristianas y sublimes como oportunas para enjugar las lágrimas de la patria por la pérdida…</t>
  </si>
  <si>
    <t>Alarcon, Josef</t>
  </si>
  <si>
    <t>Josef Alarcon</t>
  </si>
  <si>
    <t>…z: las cánongías de idioma mexica no en la propia iglesia, á D. Estanislao Segura y á D. Francisco Valladares; y las raciones, también de idioma mexicano, á D. Dímas Maldonado y á D. Josef Alarcon: la canongía lectoral de la santa iglesia catedral de Monterey, nuevo reino de León , á D. Josef Francisco Arroyo, y á-D. Pedro Hom bre ja canongía de esta iglesia vacante por ascenso de D. f Josef Vivero á la dignidad de chantre de la misma: la dignidad de t…</t>
  </si>
  <si>
    <t>Alaría, Eusebio</t>
  </si>
  <si>
    <t>Eusebio Alaría</t>
  </si>
  <si>
    <t>…tórica de esta villa D. Rufino de la Peña y Arias, individuo de la Real academia latina, obtenida la venia del ayunta miento , y de acuerdo del alcalde mayor por $. M. de la misma D. Eusebio Alaría ¿ampie, celebró exámenes públicos de gramática castellana, latina y buena versión.el 20 de este en una de las salas del pósito Real, y á presencia de dicho ayuntamiento, del clero y de un numeroso concurso de personas d.e carácter é instrucción, tanto de esta…</t>
  </si>
  <si>
    <t>Alba, Felipe de</t>
  </si>
  <si>
    <t>Felipe de Alba</t>
  </si>
  <si>
    <t>Gaceta de Madrid n.º 79</t>
  </si>
  <si>
    <t>…Señora. 1 En virtud de providencia del Sr. D. Joaquín de Almazantemiente primero de corregidor de esta muy heroica villa, se cita, llama y emplaza á los parientes y acreedores de D. Felipe de Alba, habitante que fue en esta corte, y que falleció in-r testado en ir dé Noviembre de i8r6, para que dentro de 30 dias , contados desde el i.° del corriente, concurran por sí ó por procurador ante el expresado se.ior juez , ó por el oficio’ qué despacha el escr…</t>
  </si>
  <si>
    <t>Albarran, Josef</t>
  </si>
  <si>
    <t>Josef Albarran</t>
  </si>
  <si>
    <t>Gaceta de Madrid n.º 53</t>
  </si>
  <si>
    <t>…nuel Amador. Propias de Madrid t Manuel Revuelta. Sugetos que se hicieron acreedores d la medalla de honor. D. Manuel María Raíz, D. Antonio Barea, D. Domingo Rodríguez Car vajal, D. Josef Albarran, D. Pedro Giménez de Haro y D. Domingo Lama. Nota. Manuel Resuelta , Manuela Esperanza, Manuel Amador , Eugenia Alonso y María Gómez están declarados acreedores á ser admitidos en los establecimientos públicos y dé curación. A virtud de providencia del tribun…</t>
  </si>
  <si>
    <t>Albert, Jósef de</t>
  </si>
  <si>
    <t>Jósef de Albert</t>
  </si>
  <si>
    <t>Gaceta de Madrid n.º 57</t>
  </si>
  <si>
    <t>…núm, 17 dé la manz. 213, que su área comprende 3470^ pies , y .está tasado en 67340 rs. vn. Quien quisiere hacer postura á él acuda ante dicho señor vi sitador y por el oficio de D. Jósef de Albert, ííotarió mayor1 dé su tribunal, que' siendo arregladas y á metálico sé admitirán. , r ‘ El rematé del oficio de procurador del número de esta muy heroica villa, seña lado para el 7 tíél corriente i sé suspendió, y volvió' £ señalar para el V6 dé 12 á una1 en…</t>
  </si>
  <si>
    <t>Albert, Josef de</t>
  </si>
  <si>
    <t>Josef de Albert</t>
  </si>
  <si>
    <t>Gaceta de Madrid n.º 64</t>
  </si>
  <si>
    <t>…y ésta'tasado en 67340 rea les vn. el dia 2£ del cqrriente, á las 11 de Ja mañana. Quien jguisiere hacer postura á él acuda ante cricho señor, visitador, y .por, jpl-.oficio d e . D. Josef de Albert, no tario mayor de su tribunal, que siendo arregladas y á metálico se admitirán.</t>
  </si>
  <si>
    <t>Alberto</t>
  </si>
  <si>
    <t>6q8 * Idem 2j. Hemos recibido la noticia de que el duque Alberto ha llegado sin nove dad á sus estados. Este excelente Príncipe,) amado de todps, por su beneficen cia , acaba.de perdonar á sus arrendatarios una ¿cuarta parte de las rentas que le deben. Ademas de este y otros rasgos de liberalidad con que^ha,,contribui do a…</t>
  </si>
  <si>
    <t>Alberto, Apojinario</t>
  </si>
  <si>
    <t>Apojinario Alberto</t>
  </si>
  <si>
    <t>Gaceta de Madrid n.º 106</t>
  </si>
  <si>
    <t>897</t>
  </si>
  <si>
    <t>…el de Belén. D* Josef Elias Megías, : . ^ I Idem del de S. Miguel. D. Hermenegildo Daza, vecinos del Sombrero y Barbacoas, y han obtenido la nobleza personal. Escuadrones del Rey. D. Apojinario Alberto la nobleza personal. Capitán de milicias. D. Josef Alvarez, natural de S. Carlos , la nobleza personal. r::f 1 r;l vi* • vbnrifr*-2 vi or.rci./ ,, c . ; * J-l r, Campo 'oblante del Paolf D. EstébanPrado, aprobado .eir su empleo def teniente y Don personal. r…</t>
  </si>
  <si>
    <t>Alberty, Pedro</t>
  </si>
  <si>
    <t>Pedro Alberty</t>
  </si>
  <si>
    <t>Gaceta de Madrid n.º 94</t>
  </si>
  <si>
    <t>…ería de Zaragoza al subte niente D. Fernando Santa Olalla, que servia igual empleo en el castillo de S. Felipe de la ría del Ferrol; y la del de Polleriza, en Mallorca, al alférez D. Pedro Alberty, guardia de la Real compañía de Alabarderos. Noticioso el Rey nuestro Señor de que el comisario ordenador graduado de marina D. Francisco de Paula Bermudez hizo cesión, durante la última guerra con la Francia, á favor del Real erario de los alquileres de 144…</t>
  </si>
  <si>
    <t>Alboñiga, Santiago Manuel de</t>
  </si>
  <si>
    <t>Santiago Manuel de Alboñiga</t>
  </si>
  <si>
    <t>Gaceta de Madrid n.º 112</t>
  </si>
  <si>
    <t>…ente, y asimismo á los ignorados y ausentes, á efecto de que por sí ó persona en su nombre con poder bastante (que deberán antes exhibir en la escri. barda de provincia que egerce D. Santiago Manuel de Alboñiga)-concurran á ella; apercibidos unos y otros que délo contrario les parará el perjuicio que hubiere lu gar en derecho. Se halla vacante la plaza de médico de la villa de Casar de Talamanca, distante de la corte siete leguas, tiene 230 vecinos: su dotación 60 r…</t>
  </si>
  <si>
    <t>Alboniga, Santiago Manuel de</t>
  </si>
  <si>
    <t>Santiago Manuel de Alboniga</t>
  </si>
  <si>
    <t>Gaceta de Madrid n.º 135</t>
  </si>
  <si>
    <t>…en 2 r del pasado por el Sr. D. Francisco Cándido de Paz, del Consejo de S. M., y alcalde de su Real casa y corte, y refrendada del escribano de provincia y comisiones de la misma D. Santiago Manuel de Alboniga, se ha mandado suspender la junta de acreedores á la cesión de bienes de la casa co mercio en esta corte titulada Romero, hermanos y sobrino, señalada para el dia 28 del mismo, mediante haberse hecho presente.por los comisionados nombrados en la anterior la i…</t>
  </si>
  <si>
    <t>Albornoz, Gil</t>
  </si>
  <si>
    <t>Gil Albornoz</t>
  </si>
  <si>
    <t>Gaceta de Madrid n.º 114</t>
  </si>
  <si>
    <t>…18 cuadernos de á ó, que contienen: i.Q Don Antonio Leiva, Ambrosio Morales,, el P. Juan de Mariana&gt; Fr. Lope Félix de Vega Carpió, D. Antonio Solis, y D. Nicolás Antonio: 2.° el cardenal Gil Albornoz, Gonzalo Fernandez de Córdoba, el gran duque de Alba, Arias Montano, D. Fran cisco Quevedo y Villegas, y D. Juan de Ferreras. (ÍV continuarán.') Por el juzgado de provincia del Sr. D. Andrés Oller,. del Consejo de S. M., al calde de Casa y Corte, y escribanía…</t>
  </si>
  <si>
    <t>Albornoz, Josef Carrillo de</t>
  </si>
  <si>
    <t>Josef Carrillo de Albornoz</t>
  </si>
  <si>
    <t>…ntonio Covarrubias y Leiva, Antonio Perez, y D. Josef Pellicer: io. D. Pedro González de Mendoza, D. Mel chor de Macanaz, Fr. Francisco Ximenez de Cisneros, Vasco Nunez de Valboa, D. Josef Carrillo de Albornoz, y Hernando de Alarcon; ix. Juan de Torquemada, Hernando de Soto, D. Rodrigo Ximenez, Sto. Tomas de Villanueva, Diego Gar cía de Paredes, y Francisco Pizarro. (Se continuarán.') En virtud de providencias del Sr. D. Martin de Gaztañaga, del Consejo de S. M., s…</t>
  </si>
  <si>
    <t>Albrador, Narciso</t>
  </si>
  <si>
    <t>Narciso Albrador</t>
  </si>
  <si>
    <t>Gaceta de Madrid n.º 23</t>
  </si>
  <si>
    <t>…nto que íe cupo en suerte, egecutando en la pizarra las operaciones que le ofrecía la materia de que trataba, cuyas disertaciones fueron el primer dia sobre los puntos siguientes: D. Narciso Albrador, condecorado con la cruz del sitio de Tarragona : So bre las definiciones de la matemática en general, cuatro reglas de la aritméti ca , y fra aciones comunes y decimales, D. Josef Alegret: Sobre las razones, proporciones y teoremas de ellas. El capitán gradu…</t>
  </si>
  <si>
    <t>…isertando sobre los sólidos, individualizando su for mación , magnitud y razón. D. Mariano Enrich: Sobre la cuadratura del círculo. D. Josef Alegret: Sobre trigonometría esférica. D. Narciso Albrador: De las secciones cónicas, la parábola. D. Salvador Ros: Sobre las mismas, las definiciones, y bellísimos teore mas y problemas de la elipse é hipérbola. En cada uno de los tres dias , concluidas las disertaciones, satisfizo cada alumno á las preguntas que se…</t>
  </si>
  <si>
    <t>Albuerne, Manuel</t>
  </si>
  <si>
    <t>Manuel Albuerne</t>
  </si>
  <si>
    <t>Gaceta de Madrid n.º 33</t>
  </si>
  <si>
    <t>…o Se lma * á ,6 rs. en .negro y 20 iluminado. Asimismo un S. Josef del mjsmo tamaño, grabado por. ,DV Juan Bruneti, á 5 rs. cada uno: otro dicho en cuartilla de la misma marca por D. Manuel Albuerne, á 3 rs. en negro y 10 iluminado , .con el permiso de la, Real academia de S. Fernando. 111 u ■ EN LA IMPRENTA REAL*</t>
  </si>
  <si>
    <t>Alcaina, Nicolás</t>
  </si>
  <si>
    <t>Nicolás Alcaina</t>
  </si>
  <si>
    <t>Gaceta de Madrid n.º 42</t>
  </si>
  <si>
    <t>…i do con una partida del regimiento infantería, de la,Reina ,1 se servirá avisarlo en esta xorte á D. Cefenno Chacón, en Alcaraz al regidor D. Antonio López de Haro, y en Murcia á D. Nicolás Alcaina, también regidor de aquella ciudad. .. La riqueza de las naciones, nuevamente explicada con la doctrina de su mismo investigador. En la ciencia económica política, ésta ciencia tan necesaria á todas las naciones, y que se debe considerar nacida á fines del si…</t>
  </si>
  <si>
    <t>Alcalá, Josef María de</t>
  </si>
  <si>
    <t>Josef María de Alcalá</t>
  </si>
  <si>
    <t>1120</t>
  </si>
  <si>
    <t>…las Carretas. Sermón que en la solemne función celebrada en la santa iglesia metropolitana de México, en honra y veneración de la divina Providencia, predicó el doctor y maes tro D. Josef María de Alcalá, canónigo magistral de la misma santa iglesia, el dia 29 de Julio de 1810. Se vende en la librería de Arribas, calle de las Carretas. Ordenanzas formadas para el gobierno del Real seminario de Nobles de Vergara, aprobadas por S. M. en 4 de Mayo del presente a…</t>
  </si>
  <si>
    <t>Alcalá, Manuel</t>
  </si>
  <si>
    <t>Manuel Alcalá</t>
  </si>
  <si>
    <t>…eñ la de Lérida, por la dé D. Josef Villar Gorozabel, á D. Lorenzo -Leris, capellán que fue del primer escuadrón de arti llería volante; y en la de Tarazona, por fallecimiento de D. Manuel Alcalá, á D, Diego Molina, capellán del segundo regimiento de Artillería.</t>
  </si>
  <si>
    <t>Alcalde, Joaquín Andrés y</t>
  </si>
  <si>
    <t>Joaquín Andrés y Alcalde</t>
  </si>
  <si>
    <t>Gaceta de Madrid n.º 32</t>
  </si>
  <si>
    <t>272</t>
  </si>
  <si>
    <t>…d virtudes que honren al género humano. Véndese en la librería de Escribano, calle de las Carretas. ' ' El 6almo Miserere, traducido y glosado en décimas latinas y castellanas por Don Joaquín Andrés y Alcalde, presbítero, cura de Calceua, obispado de Tarazona, en rAragon. Se hallará en un cuadernito , que puede ir en carta, á a rs. en la librería de Gómez, calle de las'Carretas. Allí se hallará también el romance intitulado Confe? ■ion de Bonaparte. , EN LA IMPREN…</t>
  </si>
  <si>
    <t>Alcátena, Mariano</t>
  </si>
  <si>
    <t>Mariano Alcátena</t>
  </si>
  <si>
    <t>Gaceta de Madrid n.º 70</t>
  </si>
  <si>
    <t>…y dos oficiales; que en traron en el bergantín; descerrajando r:y abriendo y tomando cuanto fes pa recía. Hecho esto, y embarcados en la lancha el capitán del bergantín, lla^ mado D. Mariano Alcátena con todos los papeles, y asimismo los marineros Gabriel Alcbtenay Mateo Áriñánay Juan Bautista Zavala; -y« Joan Zavalá, ritieron conducidos; á 1 la rgoleta SHsmgenfte; quedando eideclarante^ soló en él bergantín; y marinada este'con cuatro hombres y un cabo d…</t>
  </si>
  <si>
    <t>Alcázar, Francisco</t>
  </si>
  <si>
    <t>Francisco Alcázar</t>
  </si>
  <si>
    <t>…grandes , tasada en 3© rs. vn. Quien quisiere hacer postura ó mejora á todas ó alguna de dichas fincas acuda ante el referido señor juez, por la escribanía del número de cargo de D. Francisco Alcázar en término de 30 dias, que se admitirán siendo arregladas. En la villa de Bilbao se halla vacante la plaza de cirujano latino, establecida con aprobación del Real y Supremo Consejo de Castilla , cuya dotación son 500 ducados anuáles, pagaderos por tercios, co…</t>
  </si>
  <si>
    <t>Gaceta de Madrid n.º 124</t>
  </si>
  <si>
    <t>1044</t>
  </si>
  <si>
    <t>…o de este año ante el Sr. D. Angel Fernandez de los Ríos, del Consejo de S. Mi / teniente primero de corregidor de esta muy heroica villa, por la escribanía del número de cargo de D. Francisco Alcázar, solicitando espera para el pago de diferentes deudas con que dijo se hallaba, importantes 134939 rs. vn. según su relación jurada;'qué presentó junto con otra de los bienes y créditos á su fávor, que ascienden á 206720 rs. vn.; y habiéndose celebrado junta p…</t>
  </si>
  <si>
    <t>Alcázar, Juan de</t>
  </si>
  <si>
    <t>Juan de Alcázar</t>
  </si>
  <si>
    <t>Gaceta de Madrid n.º 31</t>
  </si>
  <si>
    <t>…a que tuvo efecto esta determinación fue en los dias 22 y 23 del mes próximo pasado. t Dióse principio con un discurso latino en obsequio de,1 G. P. S. Agustín, en el que demostró D. Juan de Alcázar que las verdaderas ofendas. deben es? tar enlazadas con la virtud. En seguida Los d,e su clase manifestaron sus co-» cocimientos no comunes, traduciendo en las cartas de Cicerón y comentarios de Julio Cesar, con la explicación de todo el sistema gramatical. P…</t>
  </si>
  <si>
    <t>Alcon, Andrés</t>
  </si>
  <si>
    <t>Andrés Alcon</t>
  </si>
  <si>
    <t>…D. Luis Cifuentes, oyente. u ó Los examinadores nombrados por S. Ar R. fueron los1 Srés. D. Tgnacid Jáuregui, primer médico de CámaradeS.M.; D. «Agustín Mestre * boticario! mayor; D. Andrés Alcon, catedrático, de química del Real colegio.de Far^ macia, y D. Agustín Lar i ca , capellán de honor de S. M. ' ^ • .7 : " _ i —’- - ' ' " «" !■ ’ ' .. •' ' i ¡ ~ -i-iii. ARTICULO D E OFICIO. •' • . r ... • El Rey- nuestro. Señor y que el- año próximó -pásadoid…</t>
  </si>
  <si>
    <t>Aldama</t>
  </si>
  <si>
    <t>Gaceta de Madrid n.º 30</t>
  </si>
  <si>
    <t>…con Sedeño emprendió la invasión *de la-Giiayana , y qoe estaba ocupado en ella cuando Simón de Bolívar, lfugitivo del Chaparro en Marzo del presente año por la, aproximación, del coronel Aldama, pasó también aquel rio, se unió á Piar , y á poco tiempo se alzó con el mando absoluto. „Piar pudo escapar cón 7 de;sus oficiales del peligró en'quede puso la sublevación de sus tropas,: repasó el Orinoco, y ;se presentó en Mato rio , en donde su guarnición,…</t>
  </si>
  <si>
    <t>Aldama, Juan</t>
  </si>
  <si>
    <t>Juan Aldama</t>
  </si>
  <si>
    <t>III „fÍ3f»o á'V‘. F» muy particular recomendación del Intrépido coronel de dragones D. Juan Aldama , comandante general de la primera división , que á da cabeza de eiU fu¡e el que atacó, y se apoderó de todas las baterías y fuertes que en U playa y en el cerro tenían los rebeldes. &gt; „Mis ayudantes de campo el coronel JD. Manuel Vmaviceocio y teniente coron…</t>
  </si>
  <si>
    <t>…capital de esta isla,.con ánimo da amagar mi entrada en ella, y apoderarme del portachuelo llamado del Norte, salí dePampatar con las di visiones del brigadier D. Josef Canterac y coronel D. Juan Aldama la noche del 30 de Julio último, para estar al amanecer sobre las posiciones enemi gas. Mi objeto era tomar el portachuelo, que es un paso estrecho entre dos altas montañas, por donde se comunican desde la ciudad al pueblo del Nor te, y siendo ambos puntos lo…</t>
  </si>
  <si>
    <t>…enidad , ha biendo recibido una fuerte contusión en el hombro derecho. ,,También fue contuso en la cabeza el bizarro coronel de dragones co mandante general de la primera división D. Juan Aldama, que con el denue do que tiene acreditado se apoderó del cerro Colorado bajo la batería de la Libertad, y causó mucho daño al enemigo: siendo digno de mención el co ronel del regimiento de la Union D. Juan Francisco Mendivil, que con su cuerpo se portó con mu…</t>
  </si>
  <si>
    <t>121</t>
  </si>
  <si>
    <t>…s partes ya publicados, ha dirigido el mismo general en gefe el siguiente desde su cuartel general de Cumaná. „ Excmo. Sr.: Luego que la primera división del egército al mando del coronel D. Juan Aldama estuvo pronta para pasar á Margarita, dispuse que el corto resto de la tropa á que ha quedado reducido el batallón de Barbastro pasase á Cumaná para guarnición de la plaza y defensa de la provincia. Entre tanto el traidor Santiago Marino, que había podido reh…</t>
  </si>
  <si>
    <t>Aldana, Josef María</t>
  </si>
  <si>
    <t>Josef María Aldana</t>
  </si>
  <si>
    <t>Gaceta de Madrid n.º 97</t>
  </si>
  <si>
    <t>…o de exterminar los restos de las gavillas que han quedado en las inmediaciones de la mesa de Santiago, despaché anoche una partida de 70 hombres al mando del capitán dé realistas D. Josef María Aldana, la cual acaba dé regresar, habiendo dado muerte á i rebeldes, y tra yendo 4 vivos, entre estos al nombrado capitán Tabaré s, que ha sido bien perverso en estbs contornos, y á todos los mandaré fusilar luego que sean dispuestos cristianamente.:Se han recogido…</t>
  </si>
  <si>
    <t>Ale</t>
  </si>
  <si>
    <t>Gaceta de Madrid n.º 55</t>
  </si>
  <si>
    <t>il resto del edificio, nombrando para este efecto una comisión presidida por1 el actual consejero privado conde de Golowiri, y compuesta del príncipe Ale jandro Galiitzin y del general Betancour¿ y señalando para los gastos de es te año 50© rublos. • Idem 28. El 19 del corriente el feld- mariscal Barclay de Tolly salió de su cuartel general de Mohilew para ir á tomar baños , y ver si logra alivio en los acha q…</t>
  </si>
  <si>
    <t>Alegre, Manuel</t>
  </si>
  <si>
    <t>Manuel Alegre</t>
  </si>
  <si>
    <t>…pas que se hallan venales en la calcografía Ae la imprenta, Real.zz:Én cuartilla de marca mayor. Un Ecce Homo, del Güerchino, á 6 rs. tíña Magdalena, por Mateo Cerezo, grabada por D. Manuel Alegre, y un S. Geró nimo, por Pereda, cada una á 6.—Varias vistas de los pueblos del reino de Valen cia, cada una á 2. __Retratos de la Familia Real , cada uno á 4. Instrucciones morales sobre los sacramentos de la iglesia, dichas por el Sr. Mar tin!, arzobispo de…</t>
  </si>
  <si>
    <t>Alegret, Josef</t>
  </si>
  <si>
    <t>Josef Alegret</t>
  </si>
  <si>
    <t>…lbrador, condecorado con la cruz del sitio de Tarragona : So bre las definiciones de la matemática en general, cuatro reglas de la aritméti ca , y fra aciones comunes y decimales, D. Josef Alegret: Sobre las razones, proporciones y teoremas de ellas. El capitán graduado del regimiento de Guadalajara D. Lorenzo Via: So bre la regla de tres, y aplicaciones de ella á la de intereses, compañía, regla conjunta, aligaciones, y composición de razones, D, Mari…</t>
  </si>
  <si>
    <t>…al academia; y empezó el alumno D. Lorenzo Via disertando sobre los sólidos, individualizando su for mación , magnitud y razón. D. Mariano Enrich: Sobre la cuadratura del círculo. D. Josef Alegret: Sobre trigonometría esférica. D. Narciso Albrador: De las secciones cónicas, la parábola. D. Salvador Ros: Sobre las mismas, las definiciones, y bellísimos teore mas y problemas de la elipse é hipérbola. En cada uno de los tres dias , concluidas las disertac…</t>
  </si>
  <si>
    <t>Alejandro</t>
  </si>
  <si>
    <t>…. [ 5 cuartos. ] CC j GACETA DE MADRID DEL MARTES 7 DE JULIO DE 1818. RUSIA. Petersburgo /p de Mayo. Se ha publicado en esta capital el ceremonial del bautismo de S. A. I. el gran duque Alejandro en los términos siguientes: r.° El día señalado para el bautismo todas las personas de distinción de ambos sexos y los ministros extrangeros pasarán á ias 10 de la mañana á la iglesia del monasterio Tschoudow; las damas de honor, los oficiales de la corte y d…</t>
  </si>
  <si>
    <t>Gaceta de Madrid n.º 86</t>
  </si>
  <si>
    <t>…íw otí.CÍ GACETA DE MADRID * ' • DEL SABÁDÚ 18 DE JULIO DE 1818 . VC’ ' &gt;oH. - ; V:,ó ; -;.b L- ■ RUSIA. v . PetersbuTgQ'iGdeMayo. ............... El Emperador ha- nombrados! gran duque Alejandro, t hijo de S. A. I. el granduqué Nieblas, gefe'dél regimiento: de húsarei de la guardia.7 a ; .a ,.,-é ■■ 1 n- • Idem g de' Junio. : b j/* •••..- -á * En 29‘del mes ^pasado-el consejo de Estado dirigió á S; M:;uná exposb* cion sobre el curso y resultado délsi…</t>
  </si>
  <si>
    <t>Alfáro, Miguel</t>
  </si>
  <si>
    <t>Miguel Alfáro</t>
  </si>
  <si>
    <t>…a Serna, graduado.—3 nel , fue el que con su compañía , por determinación mía, logró la aprehen sión de estos facciosos, contribuyendo al efectp el.alférez X). Camilo Sanche* y el sargento Miguel Alfáro*' I . rhq ; e ,, Dios: ¡guarde á!V. E. muchosíaños^iHacienda del Arpnal Enero 21 de «1818.= Excmo. Sr. =sRafael Gásasola. ==Exémo. Sx. virey D. Juan Ruiz de Apodaca.” f 2.0 „Excmo. Sr~: Después de;escrito el adjunto parte he dispuesto qué la mano derecha de R…</t>
  </si>
  <si>
    <t>Álfaro-, Antoríió</t>
  </si>
  <si>
    <t>Antoríió Álfaro-</t>
  </si>
  <si>
    <t>…ervaciones, hechas pór Mr. Desault, cirujano en gefe del grande hospi cio de humanidad'de Paris , aumentada y publicada por Bichaty y traducida al cas tellano con notas pór el Dr. D. Antoríió Álfaro-, ayudante de embarco de la Real Armada. Se hállárá én la librería de Escamilla, calle de das Carretas, y en Cádiz en la de Pajares, calle Ancha. * ...... ■ • - ■ ■ EN LA IMPRENTA REAL.</t>
  </si>
  <si>
    <t>Alfonso</t>
  </si>
  <si>
    <t>Gaceta de Madrid n.º 26</t>
  </si>
  <si>
    <t>224</t>
  </si>
  <si>
    <t>…as del Sr. Navarrete, á 15 rea les, y la memoria sobre las diversiones públicas del Sr. Jovellanos, á ó rs.; y ade mas los 4 tomos anteriores de Jas memorias; las partidas del Rey D. Alfonso el Sa bio en 3 tomos en 4.0 marquida; demostración de las monedas del reinado de Henrique iv , y las demas obras de la academia. Se han puesto de venta algunos egemplares del tomo 5.® de papel de marca á 64 rs. en papel , 68 en rústica y 76 en pasta para los…</t>
  </si>
  <si>
    <t>Alfonso, Josef García</t>
  </si>
  <si>
    <t>Josef García Alfonso</t>
  </si>
  <si>
    <t>Gaceta de Madrid n.º 6</t>
  </si>
  <si>
    <t>…as Muías á D. Tiburcio Eguiluz : para la de Belalcázar á D. Juan Maríá Domínguez: para la del Viso, en la Mancha , á D. Josef París y Romero : para! ia de Villafranca del Vierzo á D. Josef García Alfonso, alcalde mayor de Villablino: para la de Torres á D. Leonardo de Veyan y Lartigaj y para la de Alcalá de los Gazules en comisión á D. Serafín Velazquez. El Rey nuestro Señor &gt; á consulta del Real Consejo ) se ha servido con-</t>
  </si>
  <si>
    <t>Alja, Juan</t>
  </si>
  <si>
    <t>Juan Alja</t>
  </si>
  <si>
    <t>…ombre, y el brigadier Canterac quedó con el otro,batallón de Navar* ra amenazando la batería y trinchera que dejábamos á retaguardia. „El comandante general de la primera división coronel D. Juan Alja ma , que en cumplimiento de las órdenes que tenia marchó á su cabeza has ta un terreno próximo al punto que iba á reconocer, se vio en la necesidad de hacer alto, ínterin se reconcentraban sus fuerzas, que hasta entonces ha bían caminado por un penoso y difíc…</t>
  </si>
  <si>
    <t>Almá, Joaquín de</t>
  </si>
  <si>
    <t>Joaquín de Almá</t>
  </si>
  <si>
    <t>Gaceta de Madrid n.º 82</t>
  </si>
  <si>
    <t>• En virtud de providencia del Sr.D. Joaquín de Almá/áfi, teniente'primero de corregidor de esta muy heroica villa, refrendada de IX Jacinto Gaona y Loeches,. se ha mandado sacar á publica subasta por término de 30 dias, contados desde esta pu blicación , la casería nombrada Loizaga, sus heredades, arboledas y…</t>
  </si>
  <si>
    <t>Almajar, Joaquín</t>
  </si>
  <si>
    <t>Joaquín Almajar</t>
  </si>
  <si>
    <t>Gaceta de Madrid n.º 88</t>
  </si>
  <si>
    <t>…raotra del mismo Conséjp-, -vacanteMpoy dé D.-Tadeo' /tejando ¿Gómez*. á Don Tadeo Soler,_ decano de la sala de alcaldes derCasa¡ y/Goite: para Ja que1 reásutta eñ este tribunal á D. Joaquín Almajar*, alcalde mayor teniente corre gidor mas antiguo de esta villa: para lá vaf.a de; alcalde mayor teniente cor regidor mas; moderno de esta propia villa á D.. Manuel Joséf Rubio, agente fiscal del Consejo de Ordenes; y pa ira ja ;ultiína J&gt;fázá de Prior. de lá…</t>
  </si>
  <si>
    <t>Almansa, Pedro</t>
  </si>
  <si>
    <t>Pedro Almansa</t>
  </si>
  <si>
    <t>Gaceta de Madrid n.º 104</t>
  </si>
  <si>
    <t>…§ido batida y muerta toda su partida por el benemérito D. Josef Nicolás Va lero , dé cuyas manos pudo escapar aquel; pero fue aprehendido en el monté por.el fiel vecino de Bocond D. Pedro Almansa, quien se lo presentó al indi cado coronel Calzada. ,,Todo lo que pongo en noticia de V. S. para su satisfacción y la de los leales habitantes de esa capital. ,, Dios &amp;c. Cuartel general de Valencia 19 de Mayo de 1818. == Pablo Morillo. =: Sr. D. Juan Bautist…</t>
  </si>
  <si>
    <t>Almaraz, Luis</t>
  </si>
  <si>
    <t>Luis Almaraz</t>
  </si>
  <si>
    <t>Gaceta de Madrid n.º 21</t>
  </si>
  <si>
    <t>PDF p. 9</t>
  </si>
  <si>
    <t>…erinamente el grado inmediato al referido Alvarado, al subteniente del mismo regimiento de Celaya D. Valentín Canalizo, á los sargentos del expresado cuerpo D. Fran cisco Tabera y D. Luis Almaraz, al del Príncipe D. Felipe Carvajal, y a"* los oficiales de realistas que existían allí, de que daré cuenta á V. E. opor tunamente para que se sirva alcanzar la aprobación de S. M., y he dado á todos los que componían aquel pequeño destacamento y la partida q…</t>
  </si>
  <si>
    <t>Almazan</t>
  </si>
  <si>
    <t>…é del oficio de procurador del número de esta muy heroica villa, seña lado para el 7 tíél corriente i sé suspendió, y volvió' £ señalar para el V6 dé 12 á una1 en la audiencia del Sr. Almazan por la escribanía de Vicuña, á causa dé que estan do tasado en 55$ rs., solo sé daba por él 25500 rs. en las dlferentes posturas que se hicieron, con calidad de bajar las cargas y todo gastó judicial. El que quiera mejo rar dicha postura acuda.amtc dicho seño…</t>
  </si>
  <si>
    <t>Almazan, IX Joaquín de</t>
  </si>
  <si>
    <t>IX Joaquín de Almazan</t>
  </si>
  <si>
    <t>Gaceta de Madrid n.º 76</t>
  </si>
  <si>
    <t>…s , acudan ante dicho señor teniente corregidor y citada escribanía, dentro del término de 30 días, que deberán contarse desde el siguiente á esta publicación. Por providencia del Sr. IX Joaquín de Almazan, teniente corregidor de esta muy heroica villa, y escribanía de D. Anselmo Ordoñez, se subasta por 20 dias mas una casa sita en el lugar de Vailecas, de esta,jurisdicción, en la calle de los Pa jeros, comprensiva de 9063 pies superficiales de fondo, tasada co…</t>
  </si>
  <si>
    <t>Almazan, Joaquín</t>
  </si>
  <si>
    <t>Joaquín Almazan</t>
  </si>
  <si>
    <t>…a dulce i fuente y encañado, re tasada en 240^ rs. vn.; y otra en la calle de Toledo, núm. 36, manz. 109, que tiene de sitio 3600 pies, tasada en 105550 rs. vn., acuda ante el ^r. D. Joaquín Almazan, y escribanía del número de D¿ Claudio Sanz; previniendo que para su remate está señalado el dia 26 del corriente, á las 12 de la mañana, en la audien-* cía de dicho señor juez. En el Real seminario de nobles de Vergara se ha de proveer pór oposición uni cáte…</t>
  </si>
  <si>
    <t>Gaceta de Madrid n.º 15</t>
  </si>
  <si>
    <t>…odos se Ies hace saber por los papeles públi cos; en la inteligencia de que el término señalado deberá contarse desde el en que se inserte en ellos este aviso. Por providencia del Sr. D. Joaquín Almazan, del Consejo de S. M., teniente de corregidor de esta muy heroica villa, y escribanía del número de Vicuña, se ha mandado subastar por 30 días, señalando el último para su remate, que será el 2$ del corriente, en las puertas de la audiencia de i 2 á una, de l…</t>
  </si>
  <si>
    <t>…dicho tribunalá la percepción de dicha cantidad; con apercibimiento que pasado’el término, señalado sin haberlo hecho, les parará él per juicio que haya lugar. Por providencia del Sr. D. Joaquín Almazan , del Consejo de S. M., primeir te niente corregidor de esta muy heroica villa, dáda por la escribanía del número de D. Cristóbal de Vicuña, se ha-mandadó!publicar por 15 dias mas la subasta de la casa de recreo prapia: de la testamentaría del último señor co…</t>
  </si>
  <si>
    <t>…rzo próximo. Para la enseñanza de esta ciencia se dará por texto la obra que ha formado el propio catedrático, titulada Lec ciones de agricultura. En virtud de providencia del $r. D. Joaquín Almazan , dei Consejo de S. M., primer teniente corregidor de esta muy heroica villa, se ha mandado sacar nueva mente á pública subasta por término de 15 dias 70 aranzadas de viña, 207^ fanegas de tierta de pan llevar, un solar de casa, y unas casas bodega, situado t…</t>
  </si>
  <si>
    <t>Almázan, Joaquín</t>
  </si>
  <si>
    <t>Joaquín Almázan</t>
  </si>
  <si>
    <t>…ócasaarruirradáconsistente cu esta villa » y su calle de Jácometrezo,,señalada con $l:núrn. 8 de la manz; 379, tasada en 17264 rs._^n. Cjuien quisiere hacer postura^ acuda ante él Sr. D. Joaquín Almázan,,del Consejo de S* M.,/teménte primero -de corregidor de esta muy heroi ca, villa.y por la-escribanía de.su .numero que egercc D. -Juan Raya* Por sentencia dé Ja-chancilleríá de Valladolhl de 2 2 de Mayo de 1807 está reservado el derecho á los hijos nietos y■…</t>
  </si>
  <si>
    <t>…cabeza de Doña Ramona de Zamácola, que se cree extraviado; en la casa núm, 4, cuarto principal, puerta del Sol , al tiempo que iSe incendió en 17 de Alprií de i$i5,^dará razón al Sr. D. Joaquín Almazan.,, del .Consejo de S. M., teniente corregidor de esta muy heroica villa, que está^enténdiéndo sobre la averiguación de dicho extravío. i . Informe de la sociedad económica de; esta corte al Real y supremo1 Concejo. de Castilla en el expediente de ley agraria…</t>
  </si>
  <si>
    <t>Almazan, Joaquin</t>
  </si>
  <si>
    <t>Joaquin Almazan</t>
  </si>
  <si>
    <t>…ayetano Motilla, su marido, vecinos que fueron de la villa de Rejas, para que comparezcan á usar de las acciones que les competan, y asistan á la junta que hade celebrarse ante el Sr. D. Joaquin Almazan, teniente corregidor de esta muy heroica villa, en su posada en el día 7 de Junio próximo á las ocho, por ante el escribano del número D. Juan Raya; con apercibimiento que si no comparecen sin mas citación y en su amencia y rebeldía se procederá en el asunto,…</t>
  </si>
  <si>
    <t>…iHen se '.au'sentó .d~'esta· cbrt~; en 'piimérps:~{ri\f~r'z~'dé este.añó, sin saberse de su parád.ero~. se le 11,~a, p~r::~.,qUé. d¿n~~o .de,acfdla(~r:~~¡sos: cc;mpa.rezca ante el señor D. Joaquín Almazan, temente corregidor deesta'!Rúy herOIca Villa " y 'por la escn. b3P!a ~e :O.. ~Juan.Raya á entregarse de él; adveftido' que pasados sin ~ber compa .. C C C .... rqcido st; prpeed'1r~ ~. su~.renta· y depós!to~el precio'.. . . I . " . . "~ . ~ t " :.~ Se dese,a…</t>
  </si>
  <si>
    <t>Almazan, Joaquín de</t>
  </si>
  <si>
    <t>Joaquín de Almazan</t>
  </si>
  <si>
    <t>…ento que si no lo hace pasado dicho término, se declarará de ningún efecto, y asi bien la re tención hecha, y la parará entero perjuicio. 1 En virtudl de nueva providencia del Sr, D. Joaquín de Almazan, del Consejo de S.M., teniente primero de corregidor de esta muy heroica villa , se cita, llama y emplaza á las personas particulares ó comunidades en cuyo poder existan las escri turas de venta de dos huertas contiguas, situadas entre los dos caminos que des…</t>
  </si>
  <si>
    <t>Almazan, Joaquin de</t>
  </si>
  <si>
    <t>Joaquin de Almazan</t>
  </si>
  <si>
    <t>…a se publique la subasta por ocho dias mas; y en su consecuencia se ha señalado para el segundo remate el 24 del corriente á las 12 de la mañana en las puertas de la audiencia del Sr. D. Joaquin de Almazan, y por ante el escribano del número D. Claudio Sanz. Quien quisiere hacer mejora acu-; da hasta dicho dia, que se le admitirán las que hiciere, siendo arregladas. En virtud de providencia del Sr. D. Joaquin de Almazan , del Consejo de S. M., teniente corregid…</t>
  </si>
  <si>
    <t>Gaceta de Madrid n.º 11</t>
  </si>
  <si>
    <t>…les una declaración de pobre, en que instituía por heredera á su hermana Doña Isidora Carrasco, parece haber fallecido anteriormente) se radicaron los autos de abintestato ante el Sr. D. Joaquín de Almazan, del Con sejo de S. M., teniente corregidor de esta muy heroica villa, y escribanía de Dan Antonio Villa y Fernandez, por cuyo juzgado se ha mandado emplazar á los pa rientes mas inmediatos de la Doña María, y que se crean con derecho á heredar abintestato, p…</t>
  </si>
  <si>
    <t>Gaceta de Madrid n.º 16</t>
  </si>
  <si>
    <t>…nte del comandante general de ella. Asimismo han sido contusos el brigadier D. Domingo Estanislao de Loaces, coronel del regi miento infantería de Zaragoza, y varios oficiales. El Sr. D. Joaquín de Almazan, del Consejo de S. M., teniente corregidor dé esta muy heroica villa, por providencia de 24 del corriente ha señalado el dia y del corriente para el remate de una casa sita en la calle del Fúcar, núm. 22, man zana 250, que tiene de sitio 8z45f pies, y se hall…</t>
  </si>
  <si>
    <t>Gaceta de Madrid n.º 20</t>
  </si>
  <si>
    <t>…a, con la correspondencia de oficio y pública para todos los pumos de las Amcricas. Lo que se avisa al público para su inteligencia á los fines que le convengan. En el juzgado del Sr. D. Joaquín de Almazan , del Consejo de S. M., teniente primero de corregidor de esta muy heroica villa, y escribanía dei número de Don Juan Antonio de lírraza, se hallan pendientes los autos principiados á instancia de D. Francisco de Ayala, teniente coronel de los Reales egército…</t>
  </si>
  <si>
    <t>…para el tercer remate de una casa sita en la calle de Hortaleza, núm. 3 , manz. 304, el día 12 del próximo mes de Marzo á las 12 de medio día en su audiencia. Por providencia del Sr. D. Joaquín de Almazan, del Consejo de S. M., teniente primero de corregidor de esta muy heroica villa, refrendada del escribano del nu mero D. Tomas María Manrique, se cita, llama y emplaza por término de 8 días, que por tercero y último se les concede, contados desde su publicaci…</t>
  </si>
  <si>
    <t>…hos patronatos está reservado igualmente el derecho por la sentencia de la chancillería » á los que 1c puedan tener mejor que Doña Josefa Gabriela Valdearenas. Por providencia del Sr. D. Joaquín de Almazan, del Consejo de S. M., tenien te primero de corregidor de esta muy heroica villa» refrendada, del Escribano del número D. Tomas María Manrique» se cita, llama y emplaza á todos los parientes y demas personas que se crean con derecho á los bienes quedados por…</t>
  </si>
  <si>
    <t>…, que se vende judicialmente para hacer pago á varios acreedores, la cual contiene 8668 pies y $ de otro; y está tasada en la cantidad de 44624 rs. vn., acuda por la audiencia del Sr. D. Joaquín de Almazan, del Consejo de S. M., primer teniente corregidor de esta muy heroica villa, y escribanía del número de D. Miguel Gonzalo, donde se admitirán las que se hicieren siendo arregladas. En la quema de cartas egecutada en la administración principal de Correos de B…</t>
  </si>
  <si>
    <t>…hace saber conforme á dicha providencia, para que pueda llegar á noticia de los interesados, y obre los efectos referidos. Pendiendo en el juzgado del señor teniente de corregidor D. Joaquín de Almazan y escribanía de! número de D. Vicente de la Costa los autos de dimisión de-bie nes de D. Manuel de la Lama, vecino del comercio que fue de esta corte, á instan cia de D. Angel González, como marido de Doña María de la Lama, se ha seña lado para celebrar junta…</t>
  </si>
  <si>
    <t>Gaceta de Madrid n.º 50</t>
  </si>
  <si>
    <t>420</t>
  </si>
  <si>
    <t>…aparece ser dé uh vale Real de 300 pesos de Mayó de 18o8,núrn. 430467, ó persona que se crea con derecho, á dicho vale, para que acuda ¿ deducirle en él término de 20 días ante el Sr. D. Joaquín de Almazan , dél Consejo dé S. M.; te niente de corregidor de esta muy heroica villa, por la escribanía del numero de Don Bernardo Díaz de Antoñana, donde se halla pendiente juicio sobre declaración de la legítima pertenencia del vale; apercibido que de lo contrario le…</t>
  </si>
  <si>
    <t>…rias al camino de Vicálvaro y tierra que labra- Eugenio Ximenez, que tiene de sitio 9277 pies, y sirve para tahona, tasada en 1a cantidad de 12138 rs. y 16 mrs. vn., acuda ante el Sr. D. Joaquin de Almazan, del Consejo de S. M., teniente corregidor de esta muy heroica villa, por la escribanía de número de D. Claudio Sanz, dentro del término de 30 dias. El Sr. D. Angel Fernandez de los Ríos, del Consejo de S. M., teniente corre gidor de esta muy heroica villa, p…</t>
  </si>
  <si>
    <t>Gaceta de Madrid n.º 73</t>
  </si>
  <si>
    <t>adelantamientos gne ha hecho en sn arte á los dentistas qne deseen tratar -con él. . ■: El Sr. D. Joaquín de Almazan, teniente primero de corregidor de esta muy he roica villa, ha señalado para junta general de acreedores á la casa de giro titulada D. Patricio Joyes é hijo el dia 5 de Julio próximo, á las nueve en punto de su ma ñana, en una de las salas del Excmo. ayuntami…</t>
  </si>
  <si>
    <t>…testato, á exponer en él su derecho y justicia ; apercibidos que en su de fecto se procederá á lo que haya lugar en derecho sin otra citación ni emplazamiento; Por disposición del Sr. D. Joaquín de Almazan, teniente primero ele corregidor de esta muy heroica villa, se vuelve á citar y emplazar, por último y perentorio tér mino de 15 dias, contados desde la publicación de este aviso, á D. Francisco Anto nio Martínez , y D. Francisco Xavier de Marroquin, últimos…</t>
  </si>
  <si>
    <t>Gaceta de Madrid n.º 80</t>
  </si>
  <si>
    <t>…l despacho de la im prenta Real. Se suscribe en dicho despacho, y en las provincias en todas las admi nistraciones principales y agregadas de correos. En virtud de providencia del Sr. D. Joaquín de Almazan, teniente primero de corregidor de esta muy heroica villa, refrendada de D. Ramón García Ximenez, es cribano del número de la misma, se ha mandado convocar á junta general á todas los acreedores é interesados en la testamentaría y concurso de Diego Gómez de C…</t>
  </si>
  <si>
    <t>Gaceta de Madrid n.º 84</t>
  </si>
  <si>
    <t>…de la . gravísima responsabiliclad j que sin excepción alguna ¡sedés exigirá cuando! ¿liten á ellas por sij desgracia y la de la España. Palacio 9 de Julio de Por providencia del Sr. D. Joaquín de Almazan, teniente primero de corregidoD de esta muy heroica villa, i instancia del síndico nombrado por los acreedores de D, Tomas Notario, vecino de la villa de Dos Barrios, se ha inandado celebrar junta para tratar en razón del; cumplimiento dfc Id'pactado 'eií lá…</t>
  </si>
  <si>
    <t>…d para junta general t' que ha dJe celeb?rse e~.. la 'posada de S. S.ellunes, 1,0 de 'Agosto :próximo á las nueve en pun~ to de la lnanana. " -, ,. . .' . '. ~ Por providencia del Sr. D. Joaquín de Almazan, teniente prilllerO de corregidor ,de esta l~uy.heroi~a. villa., se cita y llama: á to4os los, estudiantes pobres dellinage de ~. Martín Felnand~z '?e-Sala~a~ 'yDoña~eOnol" de Herrera l' su lnuger, que hubieren éstudiado el1las' "tiniver~jdacles de ValJadohd'…</t>
  </si>
  <si>
    <t>Almazantemiente, Joaquín de</t>
  </si>
  <si>
    <t>Joaquín de Almazantemiente</t>
  </si>
  <si>
    <t>…ederle la gracia de que se denomine Real escuela de dibujo y nobles artes de Si a. Isabel, ep memoria del augusto nombre de la Reina nuestra Señora. 1 En virtud de providencia del Sr. D. Joaquín de Almazantemiente primero de corregidor de esta muy heroica villa, se cita, llama y emplaza á los parientes y acreedores de D. Felipe de Alba, habitante que fue en esta corte, y que falleció in-r testado en ir dé Noviembre de i8r6, para que dentro de 30 dias , contados desde e…</t>
  </si>
  <si>
    <t>Almazari, Joaquín</t>
  </si>
  <si>
    <t>Joaquín Almazari</t>
  </si>
  <si>
    <t>…vero, del Consejo de S. M., su alcalde de Casa y Corte,por la escribanía de D. Mauricio Justo del Rin cón, que se les admitirá siendo arregladas. ' iv En virtud de providencia del Sr. D. Joaquín Almazari, del Consejo de S. M., teniente corregidor de está muy heroica villa, se ha mandado sacar á pública subas ta, por término de ocho dias, una casa sita en esta corte y su calle angosta de San: Bernardo, núm. 1 r , manz. 291 , tasada en 168772 rs. vn.,á la que e…</t>
  </si>
  <si>
    <t>Almeida, Fernando Josef de</t>
  </si>
  <si>
    <t>Fernando Josef de Almeida</t>
  </si>
  <si>
    <t>…e había Venido : después de lo cual SS. MM. se sirvieron admitir los parabienes de los principales empleados y personas de distinción de la corte. . ■ „ En la noche de este dia el coronel D. Fernando Josef de Almeida, pro** pietario del teatro de S. Juan , ofreció al publico de balde una ópera, á la que se dignaron concurrir SS. MM. y toda su augusta familia, que fueron testigos de la satisfacción que inspiraba á todos Sus vasallos el nuevo enlace de S. A. Serma. con el P…</t>
  </si>
  <si>
    <t>Almirante</t>
  </si>
  <si>
    <t>…e haga constar su brillante mérito. Madrid 20 de Febrero. ARTICULO DE'OFICI O. El Exorno.. Sr. Secretario del despacho de Hacienda ha comunicado con fecha 10 de este mes al Excmo. Sr. Almirante duque de Veragua, presiden te del supremo Consejo de Hacienda, la Real orden que sigue: ,, Excmo. Sr.: El Rey nuestro Señor se ha servido acceder á lo que V. E. propone,con respecto á que queden en suspenso los efectos de la Real cédula de 13 de Noviembre últ…</t>
  </si>
  <si>
    <t>Alonso, Josef</t>
  </si>
  <si>
    <t>Josef Alonso</t>
  </si>
  <si>
    <t>Gaceta de Madrid n.º 93</t>
  </si>
  <si>
    <t>…811, cuando la toma de Valencia, se hallaba en la diviaion de D. Josef Obispos al tiempo de su dispersión; el sugetoque supiese de stí paradero se servirá avisarlo en esta corte á D. Josef Alonso en el depósito hidro gráfico de Marina. Se halla vacante el magisterio de primeras letras de la ciudad de Alcaraz, el que ésta dotado con 9 rs. diarios de los fondos de propios, pagados por meses, casa, y im cuarto que pagan por semanas los niños que leen, do…</t>
  </si>
  <si>
    <t>…gento, t 2 cabos y soldados *. Pafamós, 1 oficia! , r sargento, 18 cabos y soldados: Calella, 1 sargento, 12 ca bos y soldados: Bagúr, 1 oficial, un sargento, 18 cabos y soldados: D. Josef Alonso, capitán de cazadores de Barbastro, inspector de estas partidas: Dbn Marcelino Oraa, comandante, agregado al regimiento de infantería de Mur-</t>
  </si>
  <si>
    <t>…citados Almeída y Clavareza, D. Manuel María Riberos, D. Vicente Rey, D. Ramón Casal y D. Joaquín Clavareza. En trigonometría plana el mismo Clavareza, los citados Riberos y Rey, Don Josef Alonso y D. Josef Vicente Veiga. En trigonometría esférica los mismos Alonso, Veiga, Riberos, Rey, D. Joaquín Clavareza, D Felipe Martínez, D. Florencio Pereira, D. Francisco Pumar y D. Cosme Arias. En cosmogra fía los expresados Martínez, Pumar, Alonso, Pereira, Arias, Veiga, D. Be nito Pe…</t>
  </si>
  <si>
    <t>Alonso, Manuela Martín</t>
  </si>
  <si>
    <t>Manuela Martín Alonso</t>
  </si>
  <si>
    <t>Gaceta de Madrid n.º 95</t>
  </si>
  <si>
    <t>800</t>
  </si>
  <si>
    <t>…Campo, se citar llama y emplaza á los demas acreedores graduados en el mismo lugar&gt; que lo son Dona Jo sefa María Rogibal, D. Francisco de Ayerbe, D. Domingo González Valdosera, ' Doña Manuela Martín Alonso, D. Manuel Rodríguez, D. Juan de las Fuentes, D. Julián de Arozarena, D. Manuel de Navacerrada, D. Lorenzo Tarsis y herma nos, D. Manuel de Iruegas, D. Josef Ignacio Gutiérrez, la casa de Iruegas y Gil, y D. Antonio Penaso, sus hijos, herederos ó sucesores, p…</t>
  </si>
  <si>
    <t>Alonso, Nicolás</t>
  </si>
  <si>
    <t>Nicolás Alonso</t>
  </si>
  <si>
    <t>…a Real escue la del barrio de la Comadre : á D. Francisco Zazo, maestro de la Real escue la del barrio dél Humilladero, habiendo precedido sorteó por hallarse en igual «ensura con D. Nicolás Alonso. ‘ Pero conociendo la junta el mérito de los cinco maestros á quienes la ca sualidad de la suerte privó dél préiriio que tan justamente s‘e habían adquiridido, resolvió ampliar su generosidad coh otros cinco premios extraordinarios^ para darles lina nüeVa pru…</t>
  </si>
  <si>
    <t>Alonso, Pedro</t>
  </si>
  <si>
    <t>Pedro Alonso</t>
  </si>
  <si>
    <t>Gaceta de Madrid n.º 140</t>
  </si>
  <si>
    <t>…ro sobresalieron el alférez D. Josef María de Ursua, sargento de Colima Bernardo González, distinguido D. Josef María Farias, sargento y cabos de este piquete, singularizándose el capitán Pedro Alonso con toda su compañía de indios, pues se manifestó con el mejor zelo en la defensa: lo mismo el sargento de realistas Carmen Chacón, el cabo Máximo Perez y. todos, en fin, son muy dignos de mi recomendación por su acreditado valor. , , Dios guarde á V. muchos…</t>
  </si>
  <si>
    <t>Álós, J. M.</t>
  </si>
  <si>
    <t>J. M. Álós</t>
  </si>
  <si>
    <t>…observar con rigor las reglas de cuarentena establecidas para libertarr nos de tan terrible mal. Con este motivo me repito , Excmo. Sr. S. S. Jor ge Don &amp;c., general. = AI Excmo. Sr. D. J. M. Álós. El Rey se ha servido promover á subtenientes del Real cuerpo de arti llería á los caballeros cadetes del colegio militar de Segovia D. .Antonio Ter-^ jrero y Díaz; D. Mariano Salas y Azara; D. Francisco Lavalette y Rada; D. Rafael Suarez y Ceuti; D. Josef Ma…</t>
  </si>
  <si>
    <t>Alós, Josef María</t>
  </si>
  <si>
    <t>Josef María Alós</t>
  </si>
  <si>
    <t>PDF p. 10</t>
  </si>
  <si>
    <t>…ballería? 1 oficial, 3 sargentos, 4 cabos y 30 soldados. Idem de infantería? 13 ofici** les, ao sargentos, 3 tambores ,.53 cabos^ y1 ié&amp; soldador i j ■: j Plana mayor, &gt; El Excmo. Sr. D. Josef María Alós, comandante generaldel campo, y enjebe de las tropas, del cordón. &gt;■ ,</t>
  </si>
  <si>
    <t>Alos, Josef María</t>
  </si>
  <si>
    <t>Josef María Alos</t>
  </si>
  <si>
    <t>…e este al Guadalquivir; y el tercero desde el Guadalquivir hasta el Guadiana; 2. El primer distrito militar será mandado por el comandante general del campo dé Gibraltar el Excmo. Sr. D. Josef María Alos: el segundo por el segundo comandante general de esta provincia el mariscal de campo Don Josef Ignacio Alvarez Campana; y el tercero por el de esta clase D. Joaquín Virues. 3.° El primer distrito se subdividirá en .los cantones siguientes: el de San Roque , q…</t>
  </si>
  <si>
    <t>Alós.’</t>
  </si>
  <si>
    <t>Gaceta de Madrid n.º 17</t>
  </si>
  <si>
    <t>…inguna providencia para atajar los progresos del contagio, y mucho menos para extinguirle. Con este motivo me repito, Excmo. Sr., S. S. S. Jorge Don, general. = Exce lentísimo Sr. general Alós.’*</t>
  </si>
  <si>
    <t>Alpuente, Pascual</t>
  </si>
  <si>
    <t>Pascual Alpuente</t>
  </si>
  <si>
    <t>…á D. Fernando Josef de Toledo y el Corral; y para la plaza de alcalde del crimen de la chancillería de Valladolid , que resulta vacante por muerte de D. Josef Gon zález Villar , á D. Pascual Alpuente. Asimismo se ha servido S. M. conceder honores de oidor de la misma chancillería á D. Angel Fernandez de los Ríos, teniente corregidor mas moderno de esta muy heroica villa-----Para el cor regimiento de las cuatro villas de la Hoya de Málaga, su capital Cohin…</t>
  </si>
  <si>
    <t>Alpuenté, Pascual</t>
  </si>
  <si>
    <t>Pascual Alpuenté</t>
  </si>
  <si>
    <t>…4 Por resolución á consultas dél consejo de las Ordenes militares se ha ser vido el Ré y nombrar á D. Josef Antonio Oscot y Recarte para la vara de Sueca, vacante por promoción de D. Pascual Alpuenté á una plaza de al caide del crimen de la chancillería de Valladolid; para la del Toboso, que lo está por nombramiento de D. Francisco Juan y Cantavilla para la de Ge rona, á D. Cristóbal González Doñelfo, y para la de Arjona , que está igual mente vacante por…</t>
  </si>
  <si>
    <t>Altamirano, Ramón</t>
  </si>
  <si>
    <t>Ramón Altamirano</t>
  </si>
  <si>
    <t>…án de granaderos Jbséf Ma riano Noriega, capitanes Félix Franco, Josef Antonio Escantilla, Mariano AU varez,Nicolás Arroyo,Francisco María Trevino y Bernabé Sixto, alias Co rona , teniente Ramón Altamirano, ayudante de plaza Cristóbal Torres, id. del estado mayor Diego Torres, subtenientes de cazadores Francisco Gallardo y Julián Bravo, tesorero Josef Antonio Morales, juez de policía Benito Conrige., comisionado en causas Lie. Francisco Sixtos,capitán encargado…</t>
  </si>
  <si>
    <t>Altenstein</t>
  </si>
  <si>
    <t>46</t>
  </si>
  <si>
    <t>…a á la Dieta para que el egércitode la Confederación germánica ascienda á 120® hombres. También se dice generalmente que durante la ausencia del Príncipe can ciller del Estado, el ministro Altenstein hará de vice-presidente en el cousejo de Estado. AUSTRIA. Vierta 23 de Diciembre. Escriben de Odesa, con fecha de 9 de Octubre, que se propaga la ca lentura petequial entre ios emigrados wurtembergueses, de que mueren mu chos centenares.</t>
  </si>
  <si>
    <t>Alvarado, Antonio de</t>
  </si>
  <si>
    <t>Antonio de Alvarado</t>
  </si>
  <si>
    <t>…de Salvatierra, donde existia un destacamento de 50 hombres, á quienes intimó la rendición , que despreciada por el comandante de aquel punto subteniente del regimiento de Celaya D. Antonio de Alvarado, le atacó el 16 del corriente con todo empeño; pero fue rechazado con pérdida de 20 muertos y varios heridos, siendo del numero de los primeros el cabecilla Magaña; y habiendo sido reforzado el destacamento por una par tida que gallardamente se abrió paso por…</t>
  </si>
  <si>
    <t>Alvare, Juan</t>
  </si>
  <si>
    <t>Juan Alvare</t>
  </si>
  <si>
    <t>Gaceta de Madrid n.º 110</t>
  </si>
  <si>
    <t>…y él dé la legislación dé Es paña, en qué se tratan las cuestiones prácticas, arreglando sus decisiones de las leyes y resoluciones mas modernas qué en el dia rigen, compuesta por D. Juan Alvare? Pósadillá, del Consejo de S. M., fiscal qué fue del crimen de la Real audiencia dp Valencia. Se vende en las librerías de Ranz , calle de la Cruz, y de Castillo , freny t'e á lás grá!das de Felipe el Real, donde se hallarán todas las demas obras del autor; y…</t>
  </si>
  <si>
    <t>Alvarez, Antonio</t>
  </si>
  <si>
    <t>Antonio Alvarez</t>
  </si>
  <si>
    <t>…de su casa desde el año de 815; y por estar iniciada de padecer raptos de locura, se suplica á cualquiera persona que tenga noticia de dicha Catalina Mateos se sirva comunicarla á D. Antonio Alvarez, vicario eclesiástico del referido arrabal de San Lorenzo, y en Madrid á D. Juan Hermoso Daza, dei comercio de cera, calle de Toledo, num. 1 7. Guía de la grandeza para el presente año de 1818, corregida y aumentada de un plan estadístico, que contiene todas…</t>
  </si>
  <si>
    <t>Alvarez, Francisco</t>
  </si>
  <si>
    <t>Francisco Alvarez</t>
  </si>
  <si>
    <t>…os subtenientes del Real cuerpo de artillería D. Josef Mogro y D. Santos Caravantes : el coronel de milicias Don Francisco González Palma: el capitán del Real cuerpo de ingenieros Don Francisco Alvarez: los capitanes D. Camilo Acuña, D. Manuel Unzueta y D. F rancisco Despot: el ayudante D. Aniceto Valverdet los tenientes Don Juan Ruiz Ordoñez., D. Vicente González y D. Antonio Henriquez: los sub tenientes D. Diego Duran, D. Vicente Benavides y D. Tomas Calv…</t>
  </si>
  <si>
    <t>Gaceta de Madrid n.º 87</t>
  </si>
  <si>
    <t>…a mañana, y sin embargo que todavía no he recibi do el parte oficial de la acción ocurrida ayer en Quechereguas, por la noticia que me dió el capitán del Real cuerpo de ingenieros D. Francisco Alvarez, adicto al estado mayor, fueron batidos los enemigos con una crecida pér dida de sus mejores tropas, cuales son granaderos á caballo, y los llamados de la escolta de cazadores. Es lo que puedo decir á V. S. por ahora, hasta que reciba el referido parte oficia…</t>
  </si>
  <si>
    <t>…de Gaztañaga, del Consejo de S. M., su alcalde de Gasa y Corte, refrendada del escribano de provincia y comisiones de la misma D. Manuel López de Rivas, se cita, llama y emplaza á D. Francisco Alvarez, vecino de esta corte, ó en su defecto á sus herederos, para que en el término de 15 días, con tados desde la publicación de este aviso, comparezcan en el juzgado de dicho señor alcalde á usar de su derecho en la demanda instaurada en él por parte de la señor…</t>
  </si>
  <si>
    <t>Alvarez, Josef</t>
  </si>
  <si>
    <t>Josef Alvarez</t>
  </si>
  <si>
    <t>…l. D. Hermenegildo Daza, vecinos del Sombrero y Barbacoas, y han obtenido la nobleza personal. Escuadrones del Rey. D. Apojinario Alberto la nobleza personal. Capitán de milicias. D. Josef Alvarez, natural de S. Carlos , la nobleza personal. r::f 1 r;l vi* • vbnrifr*-2 vi or.rci./ ,, c . ; * J-l r, Campo 'oblante del Paolf D. EstébanPrado, aprobado .eir su empleo def teniente y Don personal. r i/'-rC v . ¡ -i. o-' \j ■ Segundo ayudante de1 cirugía del…</t>
  </si>
  <si>
    <t>Alvarez, Juan de Ribera y</t>
  </si>
  <si>
    <t>Juan de Ribera y Alvarez</t>
  </si>
  <si>
    <t>6</t>
  </si>
  <si>
    <t>…de la villa de S. Juan del Puerto, en el condado de Niebla y provincia de Sevilla , quienes se quejaban del pro cedimiento det intendente por haber expedido un despacho á favor de Don Juan de Ribera y Alvarez, alcalde mayor de Sanlúcar de Barrameda, de clarándole exento de la contribución general por la razón de tener seis hijos varones, siendo asi que las leyes no le conceden semejantes facultades, ni realmente eximen á ios padres del pago de la contribución, y s…</t>
  </si>
  <si>
    <t>Alzóla, Domingo de</t>
  </si>
  <si>
    <t>Domingo de Alzóla</t>
  </si>
  <si>
    <t>…ya de antemano se había colocado en el presbiterio y bajo, un dosel el retrato del Soberano, y se celebró una misa con toda la posible solemnidad, en la que predicó el so cio Dr. D. Domingo de Alzóla, canónigo penitenciarió de esta santa iglesia. Ademas de los individuos de la sociedad y de todos los magistradosciviíes y eclesiásticos, y otras varias personas que esta convidó, asistieron á este acto las 58 niñas que concurren á las escuelas de la sociedad…</t>
  </si>
  <si>
    <t>Amador, Juan</t>
  </si>
  <si>
    <t>Juan Amador</t>
  </si>
  <si>
    <t>1165</t>
  </si>
  <si>
    <t>…de Tomendan, Araparacuaro, Tipitarillo y Comiembaro para libertarios del incendio que intenta ban los rebeldes, y reforcé á este gefe con 66 dragones. ,, La sección del cargo del capitán D. Juan Amador introdujo en esta ciu dad el dia 12 82 tercios ae algodón y 52 de panocha quitados á varios paisanos que los extrañan de, las haciendas que ocupan Io§ rebeldes con pasaporte de estos,, cuyo valor se aplicó.á beneficio del Real erario; y el 14 marchó este ofic…</t>
  </si>
  <si>
    <t>Amandi, Ramón</t>
  </si>
  <si>
    <t>Ramón Amandi</t>
  </si>
  <si>
    <t>Gaceta de Madrid n.º 153</t>
  </si>
  <si>
    <t>1268</t>
  </si>
  <si>
    <t>…aban la vanguardia,empecé á batirlos : al mismo tiempo se descubrió otra gayilla de 80 rebeldes por la izquierda, en cuyo acto dispuse; que el teniente def regimiento de S, Cirios D. Ramón Amandi se quqdásé ’ con 40 hombres con teniendo la. emboscada; de, la izquierda y custo^ diando..el convoy-, untpinj,) o batía la mayoLfuerza con 50 caballos de Sierragorda, inclusos 10 realistas fieles de esa ciudad que mandaba el alférez Don Ignacio Maza Riva, y 4…</t>
  </si>
  <si>
    <t>Amar, Antonio</t>
  </si>
  <si>
    <t>Antonio Amar</t>
  </si>
  <si>
    <t>Gaceta de Madrid n.º 136</t>
  </si>
  <si>
    <t>…lle de Correos, y en la de Aguilar, calle de Preciados. Informe sobre la mejora y aumento de Ja cria de caballos, dado al supremo Con sejo de la Guerra por los tenientes generales D. Antonio Amar , D.. Manuel Freire, el marques de Casa-Cagigal y el mariscal de campo D. Diego Ballesteros, extendido por el citado marques, individuo de la. junta, y con arreglo a las opiniones de esta, impreso con aprobación de S. M.: un tomo en 4.0 á 8 rs. en rústica. Vé…</t>
  </si>
  <si>
    <t>Amat, Felipe de</t>
  </si>
  <si>
    <t>Felipe de Amat</t>
  </si>
  <si>
    <t>…ogaritmos, y ecuaciones de prime ro y segundo grado, y aplicación de esta á las varias incógnitas, asi determi nadas como indeterminadas. En el segundo dia presidió la academia el Sr. D. Felipe de Amat como Antiquior de ella, por no haber podido asistir el Excmo.Sr. presidente á cau sa de sus urgentes ocupaciones; y empezó el certámen por las disertaciones de los alumnos en el orden siguiente: El mencionado D. Salvador Ros y Renart: La geometría dando las d…</t>
  </si>
  <si>
    <t>Amatelos, Pascual</t>
  </si>
  <si>
    <t>Pascual Amatelos</t>
  </si>
  <si>
    <t>Gaceta de Madrid n.º 51</t>
  </si>
  <si>
    <t>…iales y- 253 soldados muertos^ 4 oficiales y 6l soldados heridos ¿ y 94 soldados prisioneros. Los oficiales muertos del regimiento de Návarra son los capitanes D. Ma nuel Mendoza, D. Pascual Amatelos tenientes con grado de capitán D. Aór drés Rico, D.Torñas Perez Trujillo, los tenientes D. Josef del Cerro , Doq Guillermo Pinilla, D, Domingo Verastigui, los subtenientes D. Josef Cea, D.* Nicolás Calderón y D. Vicente García : heridós los tenientes D. Franc…</t>
  </si>
  <si>
    <t>Amatrialn, Joan</t>
  </si>
  <si>
    <t>Joan Amatrialn</t>
  </si>
  <si>
    <t>Gaceta de Madrid n.º 44</t>
  </si>
  <si>
    <t>…adas épocas de usar dé los baños.._—Los que determinen concurrir á los dé Arnedillo podrán dirigirse con el mismo obje to, y bajo los mismos términos , al médico director dé ellos D. Joan Amatrialn , que residirá en Peñaranda de.Duero'hasta gúé llegue la época de usar .de aqpeflas aguas. ;\*V.’ ni-' '• «&gt; rt í í ¿ j. i Por ét juzgado del Sri D. Manuel Josef de Arbízú , def Cónséjo de Sr. M., áTcalde- én su Real Casa y .Corte, y escribanía dfe ptóviii&gt;cí…</t>
  </si>
  <si>
    <t>Ametlier, Blas</t>
  </si>
  <si>
    <t>Blas Ametlier</t>
  </si>
  <si>
    <t>…en el despa cho de la imprenta Real. Continuación de las estampas que se hallan venales en la calcografía de la imprenta Real. En pliego de marca mayor. La caza del avestruz, por D. Blas Ametlier, á 40 rs.— La pesca del cocodrilo, por D. Pedro Moles, á 40. —El Cristo de. la Paz, por Carmona, i 20.Z: Diez vistas del Real sitio de Aranjuez, por D. Manuel Salvador Carmona, Selnia y otros buenos profesores, cada estampa á 20 rs. zz Jesús, María y Josef, d…</t>
  </si>
  <si>
    <t>Amor</t>
  </si>
  <si>
    <t>Gaceta de Madrid n.º 132</t>
  </si>
  <si>
    <t>…n el objeto de perseguir á los rebeldes sin dejarlos descansar; y como á las dos leguas de haber reconocido infinitas veredas que discurrieron, se encontró la sección del teniente coronel Amor con los rebel des dispersos que se habían internado por el bosque , los cuales en número de 70 a 80 estaban emboscados en lo mas oculto de él con una avanzada sobre la veredita, que la tropa iba siguiendo, y que apenas anunciaba que por allí se pudiese hallar…</t>
  </si>
  <si>
    <t>Amor, Francisco</t>
  </si>
  <si>
    <t>Francisco Amor</t>
  </si>
  <si>
    <t>Gaceta de Madrid n.º 92</t>
  </si>
  <si>
    <t>…la Ribera de arriba, por haber cogido en el presente año, y terreno que no ha dado hasta ahora otro fruto, 120 fanegas de patatas , cosecha nueva de aquella feligresía: 320 rs. á D. Francisco Amor y'Lastra, de la parroquia de Serantes, concejo de Castropol, que le fueron ofrecidos en el año anterior por la conservación de Too limoneros que entonces acreditó- tener prendidos: 400; rs. al propio D. Fran cisco porque justificó tener prendidas y dando frut…</t>
  </si>
  <si>
    <t>Amor, Ignacio</t>
  </si>
  <si>
    <t>Ignacio Amor</t>
  </si>
  <si>
    <t>Gaceta de Madrid n.º 130</t>
  </si>
  <si>
    <t>…D. Antonio de Linares.’*' Idem 2. de Junio*. CÓMAN Df-ANCIA GENERAL DE PUEBLA Y VER ACRUZ. Oficio del brigadier y comandante general Z&gt;. Ciríaco de Llano+ „Excmo.uSr.: El teniente coronel D. Ignacio Amor, que continúa en lá persecución de los rebeldes fugitivos de sus parapetos del Arenal en aquéllos espesísimos montes , me da parte de sus operaciones posteriores en oficios de .8 y 10. .del corriente* que he recibido juntos, y elevo á. la superioridad de V. E…</t>
  </si>
  <si>
    <t>…Dios guardeá-V. - muchosañós. S. Nicolás GüatepéC Abrtl i3 de 1818 Juan Zamorategui. = Sr. teniente coronel y comandante D. Nicolás Gutiérrez.” Idem 2 de Jimio. Porté del teniente coronel D. Ignacio Amor al comandante general' Don Ciríaco de Ulano. . ,, Ayer al toque de diana salieron por el bosque y por diferentes.</t>
  </si>
  <si>
    <t>Ampudia, Juan</t>
  </si>
  <si>
    <t>Juan Ampudia</t>
  </si>
  <si>
    <t>…mbién se me había informado''tenían puesta en el camino que yo llevaba, única entrada de la mesa donde estaba posesio nado el, enemigo. En. segunda destiné al teniente de Zaragoza D. Juan Ampudia con 20 infantes del mismo.,cuerpo para que en caso necesario protegiese la primera guerrilla. En el momento que el capitán Sánchez fue sentido por los rebeldes, rompib su avanzada el fuego; pero este bizarro oficial, despre ciando todo riesgo, se Ies echo enc…</t>
  </si>
  <si>
    <t>An</t>
  </si>
  <si>
    <t>…V. E. muchos años. S. Fernando 13 de Mayo de 1817. = Excmo. Sr. “Sebastian de la Calzada. = Excmo, Sr. gene ral en gefe.” 3.0 „ Excmo. Sr.: Me apresuro á noticiar á V. E. como el capitán D. An^ tonio Ramos con parte de su caballería d 1 Guayabal ha batido completa^ mente los bergantes, capitaneados por el feroz Antonio Frenes en el hato del Samuro, á tiempo que Ramos se hallaba cogiendo ganado para esta pla za. El resultado de esta distinguida acci…</t>
  </si>
  <si>
    <t>Gaceta de Madrid n.º 48</t>
  </si>
  <si>
    <t>…o de la misma del cargo de D. Pascual Seco, que se ad mitirán las que se hicieren siendo, arregladas. .... Se desea s^jber.el paxadfero de Doña Josefa ó Isabel Benavente, viuda de D. An. dres Barraza y Barfi, ó en defecto de ella el de sus parientes 6 herederos, para co municarles asuntos que les interesan, á cuyo fin dejarán la noticia en la plazuela de Sta. Ana , casa ñám. 11, al relogero que está en el portal de ella. , Censo de población…</t>
  </si>
  <si>
    <t>…erá desde Santi-Petri hasta la einbocadurade la barra del Puerto de Santa María , será de cargo del teniente co ronel D. Ramón Rangel , comandante del segundo batallón del Infante D. An tonio ; y el de Rota, comprendido entre aquel puerto y el rio Guadalquivir, estará á las órdenes del brigadier D. Manuel. María Trevíjano. ,,• - 5.° El tercero se compondrá,.de. otros tres cantones dividido en esta? fqtma: el de Almonte, limitado entre el Gua…</t>
  </si>
  <si>
    <t>Gaceta de Madrid n.º 107</t>
  </si>
  <si>
    <t>…do á la compañía de inválidos hábiles de Pamplona. En América. El gobierno é intendencia de Durango al brigadier D. Die go García Conde, y el de castellano de Acapulco al teniente coronel D. An tonio Lefdael, capitán del regimiento de infantería del Infante D. Cárlos, antes Real de Lima, dependientes ambos del vireinato de Nueva-España. S. M. se ha dignado conferir el arcedianato de la catedral de la Havana á D. Julián Josef del Barrio, canónigo de…</t>
  </si>
  <si>
    <t>…oí obraron y cumplieron con la mayór exactitud. „ Asimismo recomiendo al teniente político de este pueblo D. Vicente Cenon Carrillo, á D. Ramón Solprsano, á. D. Francisco Ochoa, á D. An tonio Ochoa y D. Francisco Manrique, que con retacos propios hacían fue go al igual de la infantería donde se les ordenaba; y asimismo á D. Pablo Luna con sus dos hijos. - - . • ,, Se lo comunico á vmd. para su satisfacción. ,, Dios guarde á Vmd. mochos años.…</t>
  </si>
  <si>
    <t>An, Isabel</t>
  </si>
  <si>
    <t>Isabel An</t>
  </si>
  <si>
    <t>Gaceta de Madrid n.º 127</t>
  </si>
  <si>
    <t>…rtes, de la una el señor fiscal por el dere.cKo.de la Real Hacienda,' y de la otra D. Fernando Joaquín Navarro Balboa Zayas, Doña Clara Navarro Balboa,1 D. Alfonso Mateos Fajardo, Doña Isabel An^ Alvarez y Montes, viuda que fue de D. Fernando Navarro Balboa, por sí y en nombre de su hijo menor D. Josef Trini4 dad Navarro Balboa y Doña María Ana Ducarne, viuda de D. Josef Navarro Balboa! como madre y tutora, y sus cuatro hijos de menor edad D. Manuel,…</t>
  </si>
  <si>
    <t>An-</t>
  </si>
  <si>
    <t>…rtínez. = Sr. tenienteTcoronel y comandante D. Domingo Clavarino.” Madrid 18 de Noviembre. A * T I Cü L p D E OFICIO. El Rey nuestro Señor se ha servido conceder su Real permiso á D. An-</t>
  </si>
  <si>
    <t>Ana</t>
  </si>
  <si>
    <t>PDF p. 15</t>
  </si>
  <si>
    <t>…nó, i sargento, 3 cabos y 12 soldados. De reten: 1 ríibalterno, 1 sargento, 2 cabos y 12 soldados de infantería, y 15 de caballería del tercer escuadrón de Borbon en el Palacio de Doña Ana. De reten en nuestra Señora del Rocío: 1 subalterno, 1 sargento, 2 cabos y 12 soldados de infantería, y 3 5 de caballería. De reten en Almonte: 1 subalterno, 1 sargento, 2 cabos y 12 soldados de infantería , y 15 de caballería. Comandante de este cantón un ge…</t>
  </si>
  <si>
    <t>Ana, María</t>
  </si>
  <si>
    <t>María Ana</t>
  </si>
  <si>
    <t>…zuela del Clavel, junto á S. Martin, núm. 6, cuarto segundo, casa denominada de aposento, como apoderado general del Excmo. Sr. D. Francisco de Horcaskas, he redero de la referida Doña María Ana. D. Josef Julián de Donesteve, vecino de la villa de Marquina, en el señorío de Vizcaya,' falleció el día 23 de Agosto de este presente año, y ha dejado un legado para sus primos carnales de ambas líneas: los que tengan derecho acudirán, ó se en tenderán por…</t>
  </si>
  <si>
    <t>Ana, Pedro</t>
  </si>
  <si>
    <t>Pedro Ana</t>
  </si>
  <si>
    <t>Gaceta de Madrid n.º 27</t>
  </si>
  <si>
    <t>…dero. De Sierragorda: capitán graduado de te niente coronel D. Cristóbal Villaseñor; teniente graduado de capitán D. Jo-, sef García Marín , teniente D. Manuel Ortiz , y graduados D. Pedro Ana ya, D. Luis de la Carrera y D. Ignacio Romero Pando; alféreces D. Apolinario Rodea y D. Miguel Rodríguez. De S. Luis: capitán graduado de teniente co ronel D. Anastasio Bustamante; capitán D. Andrés Huete; teniente D. Josef Gaitan; alféreces D. Juan Lesaca y…</t>
  </si>
  <si>
    <t>Anaya, F. de</t>
  </si>
  <si>
    <t>F. de Anaya</t>
  </si>
  <si>
    <t>…ores. 'I Curso elemental de historia para los militares, compuesto de orden del Exce lentísimo Sr. duque del Infantado para los caballeros cadetes de Reales Qqardjas Españolas por D. F. de Anaya: tomo i.°—.Descoso ti Excmo. Sr. duque del Infan tado de que nada falte para la instrucción de los caballeros cadetes de Reales Q-uardías Españolas, mando componer este curso en atención á la absoluta necesidad qúe itienen los militares de estudiar la histori…</t>
  </si>
  <si>
    <t>Anaya, Francisco</t>
  </si>
  <si>
    <t>Francisco Anaya</t>
  </si>
  <si>
    <t>Gaceta de Madrid n.º 145</t>
  </si>
  <si>
    <t>…^ para la media pación que ha resultado vacante en la santa iglesia catedral de Durango por ascenso deD. Pedro Millan Rodríguez á racionero. En atención al mérito que ha contraído D. Francisco Anaya, alcalde ma yor de la ciudad de Eeija,en la aprehensión 'que ha hecho de la cuadrilla de' malhechores titulada de los Dq^osíy se^hadignádó S^Mv cÓncederle.los hóno-rxes de alcalde del crimen de la Real audiencia de Sevilla. , . ■ r : ' iv ' i o;í: - S. M.á co…</t>
  </si>
  <si>
    <t>Andicoechea, Ramón de</t>
  </si>
  <si>
    <t>Ramón de Andicoechea</t>
  </si>
  <si>
    <t>…os efectos que se pudiesen salvar. Hallé que felizmente no habia perecido individuo alguno de los nueve de que se componía ia tripulación; y por la declaración del capitán llamado D. Ramón de Andicoechea, vecino de Plencia, en el seño-, río de Vizcaya, resulta que el barco era el bergantín nombrado la Flor de Villa Juan, que venia del puerto de Vigo, de donde salió el 15 cargado de 52 cascos de anchoas, 83 barricas de sardinas, 22 pipas de aceite ó de grasa d…</t>
  </si>
  <si>
    <t>Andrade, Josef</t>
  </si>
  <si>
    <t>Josef Andrade</t>
  </si>
  <si>
    <t>…misma suerte tuvieron peleando gloriosamente el teniente del mi$mo; regimiento de Navarra D. Francisco Baból, el capitán graduado teniente de la compañía de cazadores de la Union D. Josef Andrade, y el teniente deL batallón de la Reina Doña Isabel D. Juan Bermudez. „ EL brigadier D. Josef Canterac, á la cabeza de las tropas de su división, se distinguió , como siempre, por su extraordinario valor y serenidad , ha biendo recibido una fuerte contusión e…</t>
  </si>
  <si>
    <t>Andrade, Josef Antonio</t>
  </si>
  <si>
    <t>Josef Antonio Andrade</t>
  </si>
  <si>
    <t>…az del Casti llo , coronel del regimiento de Fernando vn de línea , y Ja quinta, compuesta de tropas auxiliares de Guádalajara, a las del coronel aé dragones de la Nue va* Galicia D. Josef Antonio Andrade, por erifeí-medad del brigadier D. Pe dro Celestino Negrete, la dejó de reserva para observar los movimientos del traidor Mina , y se situó con las cuatro primeras sobre la posición enemigo, distribuyendo las tropas en los puntos mas ventajosos, y establecien…</t>
  </si>
  <si>
    <t>…rosa guarnición; pero teniendo noticia de que bábia llegado al pueblo de Dolores, ocho leguas distante de aquel punto, la quinta sección de la divi sión de Guanajuato al mando del coronel D. Josef Antonio Andrade, mar chó al valle de Santiago con cosa de 600 hombres, habiéndose quedado los de Jalpa en sus madrigueras. ,, Desde aquel pueblo se dirigió el perverso Mina sobre la hacienda de la Z^nja en jurisdicción de Salvatierra, donde existia un destacamento de 50 homb…</t>
  </si>
  <si>
    <t>Andrade, Josef Antonio de</t>
  </si>
  <si>
    <t>Josef Antonio de Andrade</t>
  </si>
  <si>
    <t>…ñan. = Excmo. Sr. virey D. Juan Ruiz de Apodaca.” 2.0 Parte del brigadier D. Pedro Celestino Negrete. „ Acompaño á V. S. el oficio original del coronel de dragones de NuevaGalicia D. Josef Antonio de Andrade, segundo comandante de la división áp mi cargo, con que me da parte detallado de la gloriosa defensa que hizo en la villa de León, rechazando con grandes ventajas al traidor Mina y su gavilla, unida con la de Moreno y otros cabecillas. „Dios guarde á V. S. mu…</t>
  </si>
  <si>
    <t>Andrade, Juan</t>
  </si>
  <si>
    <t>Juan Andrade</t>
  </si>
  <si>
    <t>cotí tocto arreglo por varias direcciones aí mando del capitán, teniente y alfé rez graduados D. Juan Andrade, D. Cesáreo Medellin y D. Josef María Ro bles y al mió, dispuse una señal que precediera á la entrada de ella, con el objeto de que todos lo verificásemos á un tiempo para sorprenderla ó batirla, según conviniese. Observadas mis determinaciones con la mayor p…</t>
  </si>
  <si>
    <t>…erían presentarse temiendo el castigo que se les* impondría por haber cooperado varios de ellos al tiroteo que hicieron á la partida del batallón de Sto. Domingo, que al mando del sargento Juan Andrade, del mismo cuerpo, vino da Acatempa á este pueblo; mas el expresado oficial consiguió traerse algunos de ellos, y que se le presentaran varios dueños de ranchos; y entre estos, y los que vinieron en esta fecha á presentarse á este punto, lo efectuaron 216. ,,…</t>
  </si>
  <si>
    <t>Añdrade, Juan de</t>
  </si>
  <si>
    <t>Juan de Añdrade</t>
  </si>
  <si>
    <t>Gaceta de Madrid n.º 34</t>
  </si>
  <si>
    <t>…l López de Rivas, escribano dé provincia y comisiones, y de los Reales, cuerpos de Artillería é Ingenieros dé esta plaza, y á instancia de varios acreedores en la testamentaría de D. Juan de Añdrade, vecino que fue de la villa de Aravaca, en esta provincia de Madrid, se ha man dado citar á una junta general de todos los acreedores é interesados á la misma, j</t>
  </si>
  <si>
    <t>Andrade, Juan de</t>
  </si>
  <si>
    <t>Juan de Andrade</t>
  </si>
  <si>
    <t>…por el presente se Ja cita, llama y emplaza; apercibida qtre pasado sin haberlo hecho la parará el perjuicio que haya lugar. . En junta general de acreedores á la testamentaría de D. Juan de Andrade,, vecino que fue de Aravaca, celebrada en 26 de Julio anterior ante el señor alcalde de la Real Casa y Corte D. Martin de Gaztañaga, y escribanía de provincia y comisiones de ella de D. Manuel López de Rivas, se acordó éntre otras cosas proceder á lai venta d…</t>
  </si>
  <si>
    <t>…de Noviembre, á las doce en punto en su audiencia, para él remate en pública subasta de las tierras, eras de pan, trillar y demás"edíificdps,"pérlériécíentes 1í' ^testamentaría de'D. Juan de Andrade, vecino'que fue de' ladilla dé* 'Aravaca, y.cuyáventa se anünciórpor la gacetá y dia rio de 2 i y 2g de Sétíéínbté último',‘ejdstente to'dó''en los términos de Húmera^ Pó-1 zuelo de A.larcon, Majadahonda.y dicha villa de Aravaca. Lo que se anuncia al pi'í— bl…</t>
  </si>
  <si>
    <t>Gaceta de Madrid n.º 150</t>
  </si>
  <si>
    <t>…a casa, existentes estas en la villa de Aravaca, y aquellas en los términos de la misma, la de Húmera, Pozuelo de Alar*con y Majadaonda, y todo perteneciente á la testamentaría de D. Juan de Andrade; en la inteligencia de que.se hallan rematadas 54 fanegas y un celemín de dichas tier ras, la era de pan trillar y solar de pajar, en las dos terceras partes de su tasación, y ademas se halla hecha postura en las mismas dos terceras partes á otras 11 fanegas…</t>
  </si>
  <si>
    <t>Andrade, ZX Josef Antonio de</t>
  </si>
  <si>
    <t>ZX Josef Antonio de Andrade</t>
  </si>
  <si>
    <t>…Moreno y otros cabecillas. „Dios guarde á V. S. muchos años. Villa de León Agosto 24 de 1817. = Pedro Celestino Negrete. =Sr. mariscal de campo D. Pascual de Lman.” 3 ? Parte del coronel ZX Josef Antonio de Andrade. „En oficio de 27 del pasado á las 7 de la mañana di parte á V. S. del ataque sostenido contra el traidor Mina en aquella madrugrada, no pudiendó detallar á V. S. por entonces el'pormenor de todo por no haber recogido las noticias correspondientes, y por el m…</t>
  </si>
  <si>
    <t>Andrade.’, Josef Antonio de</t>
  </si>
  <si>
    <t>Josef Antonio de Andrade.’</t>
  </si>
  <si>
    <t>…avi sarme que tenían una emboscada puesta" allí inmediata, sin otra novedad. „Dios guarde á V. S. muchos años. Villa de León 27 de Julio de 1817.= Domingo Travieso.=Sr. coronel y comandante D. Josef Antonio de Andrade.’” Madrid 1 g de Marzo. En el sorteo de la Real lotería moderna celebrado el día 11 del corriente Salieron sorteados con los premios mayores los números siguientes: Números. Premios. Administraciones. 26302..................... 10000 pesos En Sevilla. 34345-...…</t>
  </si>
  <si>
    <t>Andrés</t>
  </si>
  <si>
    <t>…Manuel García de Noda 2 , D. Francisco Cartagena 6, jb. Jaime Cedo 4, D. Manuel Franco y, D. Ignacio Sosa 6, D* Bernardo Ferrara 6 , D. Juan Lander 4, Doña María Gerónima Tovar 4, D. Andrés . de Ibarra 1, D. Juan de la^ Madriz: 3 , D.; Josef María Madriz. 1, D. Juan Josef Rivas y Pacheco 2, D. Lorenzo Lasa 8, D. Fernando Solórzano 10, tÍ), Pedro Goitzalez/.i A J), JosefrtMaríf Monserrafe^D* Josef, María Mu A Josef Ramo» ro 2, D. Esteban de Ponte…</t>
  </si>
  <si>
    <t>…eve de su mañana* para junta de acreedores á los bienes que dados por fallecimiento de Lorenzo Josef Davala, vecino que fue de Carabanchei de abajo. Se desea saber del paradero de D. Andrés, del Barrio , natural de Valdeerdible, provincia de Burgos , y pueblo de Polientes, hijo de D Bernardo y de Doña Catali na Ayala, casado con Doña Petra de Bastida, natural de Miranda de Ebro, en la misma provincia, sargento segundo que era en él año de 1B08 d…</t>
  </si>
  <si>
    <t>AndsadeJ, Josef Antonio de</t>
  </si>
  <si>
    <t>Josef Antonio de AndsadeJ</t>
  </si>
  <si>
    <t>…ergía, lo mismo que los soldados con su acreditada valentía y constancia. „Dios guarde á V. S. muchos años. Villa de León 27 de Julio de 1817.=. - Joséf Gil Taboada.=Sr. coronel y comandante D. Josef Antonio de AndsadeJ^</t>
  </si>
  <si>
    <t>Anduaga</t>
  </si>
  <si>
    <t>709</t>
  </si>
  <si>
    <t>…tidoy y en tales términos que ^admiraron al concurso, presentando planas de excelente letra, y dando ademas razón teóri4. ca -y práctica de la cuadrícula por él método * del Excmo/Sr. Anduaga , raandadfo- observar en estas; escuelas por -dos Realesf órdenes del Si M., una de 2 f. de/Dícieníbré de 1791 y^ótra de ^ de Abril de;r8i6l Además algunos fueron examinados en urbanidad., aritméticay' geografía. y' esfera-; entre los cuáles me-.&lt; rebe^oftats…</t>
  </si>
  <si>
    <t>…so: ,,La Real y suprema junta, dé Caridad*.; y en él reversó: ,, Al mérito y aplicación de los niños de- sus Reales escuelas gratuitas” y un egemplar de la obra del Excelen tísimo Sr. Anduaga., ^ A esté acto &gt;así$tieron el Exentos ayuntaínieñto de1 ésta muy heroica Villa,</t>
  </si>
  <si>
    <t>Anduaga, Josef de</t>
  </si>
  <si>
    <t>Josef de Anduaga</t>
  </si>
  <si>
    <t>…e. enseñar la, doctrina cristiana por los catecismos de Ripalda y Fleuri, á leer en prosa y en verso- por el;método práctico de D. Vi-, cente Naharro, á escribir por el del ExcmQ. Sr. D. Josef de Anduaga , las cinco reglas de la aritmética de D. Mariano Vallejo, la gramática y ortogra fía --porciav,4é ja Real academia, y las reglas ¿^ urbanidad y política. por el cjífcjsmQ Cdel T-.S^níiage Delgado, ¿ c&amp;áqtp»meses ó sean fcñós-se necesitan para que salga ya ed…</t>
  </si>
  <si>
    <t>Edición extraordinaria</t>
  </si>
  <si>
    <t>Gaceta de Madrid n.º 125 (extraordinaria)</t>
  </si>
  <si>
    <t>…grap cruz, de la Real ; distinguida orden de Carlos ni y de la auíeijc¡Bqa d? Isabel ja Católica; Dop Anselmo de Rívas y D. Guillermo Hualde; los consejeros de Estadolionora?rios D. Josef de Anduaga, caballerp grap cruz,de ja ¡de Caries -conde de Sta. Clara,, caballero gran cruz de la misma ó£d¡ep ;,y de Ja de San j Hermenegildo ; D. Pascual Valle jo, y D. Tomas £ par icíp Santí», colector ^general de Espplios y "V .acames ; los cabailerizos pnineros de…</t>
  </si>
  <si>
    <t>Angela, María</t>
  </si>
  <si>
    <t>María Angela</t>
  </si>
  <si>
    <t>…inos del lugar de Bezana,obispado de Santander; á Doña Bárbara Abarca, vecina de la misma ciudad, viuda de D. Josef Ignacio de la Puen te Herrera, como madre, tutora y curadora de Doña María Angela de la Puente Abarca, y D. Martin de Valdivieso Morquecho, vecino del lugar de Muriedás, viudo de Doña.Fermina de la Puente Herrera,y legítimo administrador de las per sonas de sus hijos menores D. Pedro Antonio María y Doña Hemeteria Ignacia de Valdivieso y P…</t>
  </si>
  <si>
    <t>Anguis, Félix Lázaro</t>
  </si>
  <si>
    <t>Félix Lázaro Anguis</t>
  </si>
  <si>
    <t>Gaceta de Madrid n.º 41</t>
  </si>
  <si>
    <t>…ón testamentaria» para que dentro del preciso y pe rentorio ^término de 30 dias acudan á este su juzgado y escribanía del número de 0. Pascual Seco, donde penden autosinstancia de D. Félix Lázaro Anguis sobre que se le declare heredero de los mismos, como su único mas inmediato pariente» á decir lo que les convénga de su derecho y justicia ; con apercibimiento’de-qué pa sado dicho término se procederá según derecho, y les parará el perjuicio que haya lugar.…</t>
  </si>
  <si>
    <t>Angulo, Francisco</t>
  </si>
  <si>
    <t>Francisco Angulo</t>
  </si>
  <si>
    <t>Gaceta de Madrid n.º 105</t>
  </si>
  <si>
    <t>…la pertenencia de seis acciones déla Real compañía de Filipinas, señaladas con los núms. 25453 al 25458, halladas, entre otras del banco nacional de S. Carlos, en el secuestro de D. Francisco Angulo; y sobre el pago de sus intere ses se promovió expediente en el. juzgado de provincia en el año de 1800 por D. Manuel de Aragón, vecino de esta corte, y el marques de la Paz, en cuyos autos, con vista dejo pedido por el señor fiscal por providencia de 20 de e…</t>
  </si>
  <si>
    <t>Anr</t>
  </si>
  <si>
    <t>Gaceta de Madrid n.º 158</t>
  </si>
  <si>
    <t>…n de Hümboldt.pour la Prusia. ESPAÑA. México- 7 de Julio, Continuación de los partes de Nueva-España, PROVINCIA DE GUAINAJUATO. Parte del capitán JD, Ramón Galinsoga ai comandante general D. Anr tonto de Linares. ,, Habiendo salido de la villa de Salamanca el 13 del corriente custodian do el convoy y correspondencia que recibí el dia anterior en el pueblo de Irapuato, para conducirle á la ciudad de Celaya con la sección de mi mando, compuesta de 160…</t>
  </si>
  <si>
    <t>Ansel</t>
  </si>
  <si>
    <t>Gaceta de Madrid n.º 113</t>
  </si>
  <si>
    <t>…postura, ó hacerla de nuevo á las restantes posesiones, acuda al juzgado del Sr. D. Manuel Josef Rubio, teniente (corregidor de esta muy heroica villa , y escribanía del número de D. Ansel mo Ordoñez, dentro del término de 15 días, que se admitirán las que se hicieren. . Por providencia del Sr. D. Manuel Josef Rubio, del Consejo de S. M. y tenien te corregidor de esta muy heroica villa, refrendada de D. Jacinto Gaona y Loeches, fecha 12 del cor…</t>
  </si>
  <si>
    <t>AntilloR, Isidoro de</t>
  </si>
  <si>
    <t>Isidoro de AntilloR</t>
  </si>
  <si>
    <t>…le de Atocha, frente á la ca sa de los Gremios, cuarto principal, se hallarán unos cuantos egemplares de la car ta del mar Mediterráneo entre Europa , Asia y Africa, publicada por D. Isidoro de AntilloR en 1811. EN XA IMPRENTA REAL. * ..</t>
  </si>
  <si>
    <t>Anto</t>
  </si>
  <si>
    <t>…e han ob tenido de S., M. Cristianísima en consideración á su constante adhesión y amor á la augusta dinastía de Borbon. Igualmente se ha servido S*:M. conceder stt Real permiso á D. Anto nio Josef Ruiz, vecino de la ciudad de Sevilla, para que pueda usar de la con decoración de la flor de Lis con qué ha sido agraciado por S. M* Cristianí sima pn atención á sus buenos y leales servicios.</t>
  </si>
  <si>
    <t>Anto, Casimiro</t>
  </si>
  <si>
    <t>Casimiro Anto</t>
  </si>
  <si>
    <t>Gaceta de Madrid n.º 18</t>
  </si>
  <si>
    <t>Por el juzgado del Sr. D. Joaquín de Almazan y Ximeno , del Consejo de S. M., teniente corregidor de esta muy heroica villa, y escribanía de D. Casimiro Anto nio Gómez, se subasta con Real facultad por término u¿ 30 dias, contados desde .el 3 1 de Enero último, una casa en esta corte, situada en la corredera alta de San Pablo, esquina á la de S. Josef, núm. 1, manz. 454, tasada en 82500 rs. Quien quisiere hacer po…</t>
  </si>
  <si>
    <t>Gaceta de Madrid n.º 151</t>
  </si>
  <si>
    <t>…sus derechos, para que dentro de 15 dias, primeros siguientes ai 12 del corriente mes, acudan por sí ó por medio de procurador, con poder bastante, por la escribanía del numero de D. Casimiro Anto nio Gómez, á decir de su derecho y justicia en el pleito pendiente en este juzgado sobre imposición de un censo que mandó dicho D. Josef de Paz á favor de unas me morias pías de 30© rs. de principal con réditos de dos y medio por ciento sobre ca sa en esta co…</t>
  </si>
  <si>
    <t>Anto, Francisco</t>
  </si>
  <si>
    <t>Francisco Anto</t>
  </si>
  <si>
    <t>…eniente primero ele corregidor de esta muy heroica villa, se vuelve á citar y emplazar, por último y perentorio tér mino de 15 dias, contados desde la publicación de este aviso, á D. Francisco Anto nio Martínez , y D. Francisco Xavier de Marroquin, últimos cedcntes de un vale Real de 600 pesos de i.° de Enero de 1809, señalado con el núm. 365046, que de órderi del Gobierno se halla detenido por pertenecer al Estado, á fin de que acudan ante S. S., y por…</t>
  </si>
  <si>
    <t>Antón, Josef</t>
  </si>
  <si>
    <t>Josef Antón</t>
  </si>
  <si>
    <t>Gaceta de Madrid n.º 148</t>
  </si>
  <si>
    <t>…e cita y emplaza á D. Agustín de Trápaga, D. bebastian Cardiel, Doña María Sexmilo» D. Miguel Sanz, D. Estéban delHoyo, D. Juan de Goya, y á los interesados en la testamentaría de D. Josef Antón; y por fallecimiento de ellos á sus herederos sucesores en sus derechos, como acreedores de la testamentaría de D. Manuel de Ezquerra y Trápaga, vecino y del comercio de Madrid; y también á los otros acreedores de este que se hallen en el ea-</t>
  </si>
  <si>
    <t>Antón, Rafael Martin</t>
  </si>
  <si>
    <t>Rafael Martin Antón</t>
  </si>
  <si>
    <t>…co del jueves 26 de Márzo último. La per sona que quisiere hacer postura por uno., dos ó mas años acudirá al comendador procurador mayor D. Tomas Valderábano, por la secretaría de D. Rafael Martin Antón, secretario del cít-ado-hospital. ,? A instancia de la .dueña de una casa, sita en la .plazuela del Angel de estatorte, que perteneció ál concurso de í). Pedro Josef de Adame, y en virtud de. provi dencia del Sr. D. Martin de Gxástañaga, del Consejo de S. M.…</t>
  </si>
  <si>
    <t>Ántoñana, Bernardo Díaz de</t>
  </si>
  <si>
    <t>Bernardo Díaz de Ántoñana</t>
  </si>
  <si>
    <t>…s 27 del corriente, de 1 2 á una de su.mañana» en la audiencia de dicho señor juez. Las personas que quieran hacer postura á ella acudan ante S. S. por la escribanía del número de D. Bernardo Díaz de Ántoñana, donde se admitirán siendo arregladas. ; . Quien quisiere hacer postura á una casa sita en la calle ele Valverde, n&amp;m, 17;, manz. 345, que tiene 10214! pies de sitio, con agua dulce i fuente y encañado, re tasada en 240^ rs. vn.; y otra en la calle de Toledo,…</t>
  </si>
  <si>
    <t>Antoñana, Bernardo Díaz de</t>
  </si>
  <si>
    <t>Bernardo Díaz de Antoñana</t>
  </si>
  <si>
    <t>…señor juez. Las personas que quieran hacer postura á ello , como no sea en menos cantidad de 94376 rs. de su tasación, acudan ante el citado señor juez y es cribanía del número de D. Bernardo Díaz de Antoñana, donde se admitirán las que se hicieren siendo arregladas. En virtud de providencia del Sr. D. Joaquín de Almazan y Ximeno, del Con sejo de S. M., teniente primero de corregidor de ésta muy heroica villa, refrendada del Sr. D. Ramón García Ximenez , escribano…</t>
  </si>
  <si>
    <t>…a ¿ deducirle en él término de 20 días ante el Sr. D. Joaquín de Almazan , dél Consejo dé S. M.; te niente de corregidor de esta muy heroica villa, por la escribanía del numero de Don Bernardo Díaz de Antoñana, donde se halla pendiente juicio sobre declaración de la legítima pertenencia del vale; apercibido que de lo contrario le parará »el perjui cio que Haya lugar. : ^ i : • ¿a pila,de lana .merina, corte idel presente año,, de la cabaña del hospital del Rey,,.ce…</t>
  </si>
  <si>
    <t>Antoñana, Bernardo Diaz de</t>
  </si>
  <si>
    <t>Bernardo Diaz de Antoñana</t>
  </si>
  <si>
    <t>…érmino preciso y perentorio de 20 dias acudan á deducirle ante el señor D. Joaquín de Almazan, teniente primero de corregidor de esta muy heroica villa, y escribanía del número de D. Bernardo Diaz de Antoñana; apercibidos que de lo contrarío les parará el perjuicio que haya lugar. En la anteiglesia de Mundaca, en el M. N. y M. L. señorío de Vizcaya, se ha lla vacante la plaza de médico, cuya dotación consiste en 7700 rs. vn., que se han de pagar por tercios de los…</t>
  </si>
  <si>
    <t>Antoneli, Pedro de</t>
  </si>
  <si>
    <t>Pedro de Antoneli</t>
  </si>
  <si>
    <t>1189</t>
  </si>
  <si>
    <t>…. E. „Dios guarde á V. E. muchos años. Zacualpan Abril 23 de i8i8.==Excmo. Sr. = Mateo Cuilty. = Excmo. Sr. virey D. Juan Ruiz de Apodaca.” , TULA. . Oficio del teniente coronel y comandante D. Pedro de Antoneli. ,, Excmo. Sr.: Doy parte á la superioridad _de V.E. que permanece pa cífica y sin novedad esta, demarcación de mi mando. ,,Dios guarde á V. E. muchos años. Cuau ti dan Abril 25 de i8i8.=Excmo. Sr. = Pedro de Antoneli, = Excmo. Sr..virey D. Juan Ruiz de Apoda…</t>
  </si>
  <si>
    <t>Antonia</t>
  </si>
  <si>
    <t>Gaceta de Madrid n.º 2</t>
  </si>
  <si>
    <t>…de Veracruz el día 27 de Febrero de 1792, resultó por su testamento haber sido casado en la ciudad de Cá diz con Doña María de Mesa , dejando por herederos á sus hijos D. Manuel, Doña Antonia y Doña Rita Cañal; y respecto á que estos interesados no han solicitado el cobro de 16r pesos 5§ rs., que en el año de 1796 vinieron en el navio de guerra Santiago la América, pertenecientes á esta testamentaría, por cuyo líquido entraron en tesorería general en clase de depós…</t>
  </si>
  <si>
    <t>Antonia, María</t>
  </si>
  <si>
    <t>María Antonia</t>
  </si>
  <si>
    <t>…sef Joaquín de la Puente y Doña Ana María de Herrera, que lo eran Doña Teresa de la Puente Herrera, casada con el Lie. D. Pablo Moreno del Olmo, vecinos de la ciudad de Bíírgos; á Doña María Antonia de la Puente Herrera, casada con Don Bernardo de Lienares, vecinos del lugar de Bezana,obispado de Santander; á Doña Bárbara Abarca, vecina de la misma ciudad, viuda de D. Josef Ignacio de la Puen te Herrera, como madre, tutora y curadora de Doña María Angela…</t>
  </si>
  <si>
    <t>Antonio</t>
  </si>
  <si>
    <t>…a que quiera hacer postura,, no siendo en menos de la tasación., acuda ante dicho señor juez-, y escriba nía de D. Cristóbal de Vicuña. Por el presénte se cita, llama y .emplaza á D. Antonio de la Garma* último te-, hedor que aparece ser dé uh vale Real de 300 pesos de Mayó de 18o8,núrn. 430467, ó persona que se crea con derecho, á dicho vale, para que acuda ¿ deducirle en él término de 20 días ante el Sr. D. Joaquín de Almazan , dél Consejo dé S…</t>
  </si>
  <si>
    <t>…io deíCálll jo no me hubiera auxiliado, por lo que,siendo det&gt;agradode V. S. espero lo recomiende á la .justa consideración del Excmo. Sr. virey, lo mismo que ¿d expresado capitón D. Antonio ¡Cortés, y ai de. sii clase Don Alejandro Luvian que en diferentes tiempos y por la confianza que me me-¿ receh han desempeñado Jas comisiones-mas arduas. :..o ,,Eb capí tan de realistas de Ja Mesa; de Coroneles D, FeHpeSolís sedistingqió perfectamente ep to*…</t>
  </si>
  <si>
    <t>…juicio que fiaya¡ lugar. ! , , . ; . m ' Habiéndose puesto ante el Sr, D, Angel Férnándiezc de los Ríos, teniente ¡corre-; giáór de esta muy heroica villa, y escribanía qup egerce D. Antonio: Villa yíernan-r dez, demanda por parte del cura de la iglesia parroquial de S. Pedro el ReaL-dé esta 5 córte contra los dueños de runa, c^sa. calle dé los Abades t num. 7; manz. 64 , «obre, pagó de nueve años y medio de los réditos de un censo de 7034 rs. y…</t>
  </si>
  <si>
    <t>…la cios, maestro de la Real escuela del barrio del Hospital general, habiendo precedido sorteo por hallarse en igual censura con D. Vicente García Galah y D. V ictoriano Molina: á D. Antonio dél Olmo, maestro de la Real escue la del barrio de la Comadre : á D. Francisco Zazo, maestro de la Real escue la del barrio dél Humilladero, habiendo precedido sorteó por hallarse en igual «ensura con D. Nicolás Alonso. ‘ Pero conociendo la junta el mérito d…</t>
  </si>
  <si>
    <t>Gaceta de Madrid n.º 89</t>
  </si>
  <si>
    <t>…n. Sierra de Tepecintla 26 de Enero de 1818.= Carlos Mana Llórente. • . Razón de los naturales del pueblo de S. Juan de Tepecmtla que se acógieron al indulto en. 19 del pagado. El gobernador Antonio de la Cruz, el titulado capitán Domingo Antonio, Lúeas de Santiago, Diego Josef, Gabriel de la Cruz, Francisco Santiago, Juan</t>
  </si>
  <si>
    <t>8</t>
  </si>
  <si>
    <t>…ción 'militar que abraza ¡ y fuerza que debe cubrirle. . Castillo de Sta. Catalina: i subalterno, i sargento, 3 cabos y ió soldar dos de infantería del primer batallón del Infante D. Antonio. Torre.de la Puntilla: x subalterno., 1 sargento, 3 cabos y 16 soldados. Punta Candor: s subalterno, 1 sargento, 3 cabos y ió soldados. Castillo .de' Almadraba: :i subalterno , 1 .sargento ,:r3 cabos y 16 soldados. Punta de Meca 1 1 subalterno, í sargento, 3…</t>
  </si>
  <si>
    <t>…es-leales a pernando vn. Teniente Antonio Naranjo. Doña Juliana Liendo, natural del Guayabal', la nóblézá pérsonal, aten diendo al' mérito de sus dos hijos los tenientes coróneles D. Antonio y Don Felipe Ramos. * JSlota. Hay muchos individuos de esta clase condecorados con las meda-" lias de oro y plata y el busto de S. M. que no van comprendidos en esta lista., Cuartel general de Valencia 15 de Mayo de 1818.= Morillo. í ' - - ^ • Madrid 2 de Setiembre. , V En el s…</t>
  </si>
  <si>
    <t>…Real. _ En medio pliego de marca mayor, rz Cuaderno 16. Fr. Juan de Jesús María, .D».MartsQ Bautista de Lánüza, el conde de Lemos, el maestro .Vicente Espinel, Pon ; Jorge Juan, y D. Antonio de.Ulioa: iy. D..Pablo de Sta..María, el P. Diego Lainez, Fri. Gerónimo Gracian de la Madre de Dios , D. Josef del Campillo, el Car,denai IX íraticisco de Mendoza, y D. Alfonso de Cartagena. ¿ &amp; continuará.) ■ ■■■■■'■» ■ *— ;-- - ........— ■ - "■■■ ....... ■…</t>
  </si>
  <si>
    <t>…do. „ Dios guarde á V. E. muchos años. Citacuaro Abril 8 de i8i8.=Excmo. Sr.= Pío María Ruiz. rtExcmo. Sr. virey D. Juan Ruiz de Apodaca.” tezcucó. ‘ Oficio del teniente coronel y comandante D. Antonio* de Elias Saenz. ,, Excmo* Sr.: Con el debido respeto elevo al superior conocimiento de V. E. los partes origínales de los comandantes subalternos de esta de mí car go , y del de ja partida volante, sin que ocurra novedad particular. ,,Dios guarde á V. E. muc…</t>
  </si>
  <si>
    <t>Gaceta de Madrid n.º 129</t>
  </si>
  <si>
    <t>…ismo convenio ea 265 millones de francos. . ... ESPAÑA. 3 México 28 de Abril. Continuación de los partes de Nueva-España. PROVINCIA DE GXJANAXÜATO. Oficio del coronel y comandante general D. Antonio de linares. „ i.° , ,,Excmo. Sr.^ ELcomandante militar de esta villa teniente coronel Don Francisco de Falla me ha dirigido dos partes sobre las dos expediciones que ha hecho el agraciado Pío González con la partida de su cargo hácia los pue blos del Rincón y…</t>
  </si>
  <si>
    <t>Gaceta de Madrid n.º 138</t>
  </si>
  <si>
    <t>Hf0: , ■ En 1* fcscuetá de pñmérás letras de D. Antonio dé Estrada y Nora. En es cribir: premio i.0 á Eustaquio Barracel ,i.°á Luciano de la Bodega. En leer en prosa y versó á Pedro García. En calografía á Víctor de Cristóbal. En aritmética á Esteban Torrenova. En el Fleuri á Eustaquio Movelía. En doc-s trina cris…</t>
  </si>
  <si>
    <t>…lo tiene á bien pueda elevarlo á lá superioridad del ExcitíóVSrV virey.' ,, Dios guarde á V. S. muchos años. Celaya Junio 14 de 1818 = Ramón Galinsoga. ~Sr. cofbñél y cemáhdarité D. Antonio dé Linares.” S. E. ha visto con mucho aprecio el denuedo con* que se condujeron en la</t>
  </si>
  <si>
    <t>Antonio, Domingo</t>
  </si>
  <si>
    <t>Domingo Antonio</t>
  </si>
  <si>
    <t>….= Carlos Mana Llórente. • . Razón de los naturales del pueblo de S. Juan de Tepecmtla que se acógieron al indulto en. 19 del pagado. El gobernador Antonio de la Cruz, el titulado capitán Domingo Antonio, Lúeas de Santiago, Diego Josef, Gabriel de la Cruz, Francisco Santiago, Juan</t>
  </si>
  <si>
    <t>Antonio, Esíéban</t>
  </si>
  <si>
    <t>Esíéban Antonio</t>
  </si>
  <si>
    <t>…que no lo verifique con este aviso, le parará el mismo perjuicio que si se le, hubiera citado en persona según está mandado. En virtud de providencia de i 2 del corriente del Ilmo.Sr. D. Esíéban Antonio dé Orellana, del Consejo y Cámara de S. M. en el Real y supremo de la Guerra, y asesor general de los cuerpos y tropas de casa Realy su juzgado privilegiado, se cita, lla ma y emplaza á todas y cualesquiera personas que se conceptúen con derecho á los bienes…</t>
  </si>
  <si>
    <t>Antonio, Estéban</t>
  </si>
  <si>
    <t>Estéban Antonio</t>
  </si>
  <si>
    <t>…z, tres de su carraca, una dé Sevilla y otra de Luarca, cada una á 6. zzSeis estampas de ia artillería volante, cada una á 12. (Se continuará.'} En virtud de providencia del limo. Sr. D. Estéban Antonio de .Orellana, del Consejo y Cámara de S. M. en el Real y supremo de la Guerra, y asesor general de los cuerpos y tropas de Casa Real y su juzgado privilegiado, se cita, llama y emplaza á todas y cualesquiera personas que se conceptúen con derecho á los bienes…</t>
  </si>
  <si>
    <t>Antonio, Francisco de Paula</t>
  </si>
  <si>
    <t>Francisco de Paula Antonio</t>
  </si>
  <si>
    <t>…ías, súbditos y vasallos, ha creído que nada podría contribuir mas eficazmente á lograr tan importantes fines como el unir en matrimonio al muy alto y muy poderoso Sermo. In fante D. Francisco de Paula Antonio, su augusto Hermano, con la muy alta y muy poderosa Princesa del reino de las Dos Sicilias Doña Luisa Carlota, ni ja de los Serenísimos y muy excelsos Príncipes herederos del mismo reino D. Francisco y Doña María Isabel , Duques de Calabria ; y para que asi s…</t>
  </si>
  <si>
    <t>…dos todo|, . *e presentaron SS. MM. el Rey y Reina nuestros Señores acompañados de los Sermos. Infantes D. Carlos María Isidro, Doña María Francisca de Asís, su muy cara Esposa, y D. Francisco de Paula Antonio. Habiendo ocupado SS. MM. las sillas del solio, poniéndose detras y .de pie el mayordomo del .Rey .nuestro Señor, y el capitán de guardias de su Real Persona, los Sermos. Infantes se colocaron en tres sillas inmediatas á la tarima del dosel á la dere cha del…</t>
  </si>
  <si>
    <t>…diputación del principado de Asturias, notario mayor de estos reinos, leyó en alta voz la escritura de los contratos matrimoniales del muy alto y muy poderoso Se renísimo Infante D. Francisco de Paula Antonio, y de la muy alta y muy poderosa Princesa Doña Luisa Carlota, alumbrándole un ayuda de! Redi guarda-muebles de S. M. con uno de los candeleros que había sobre dicha mesa. Había ademas prevenida otra, lía cual puso delante de SS. MM. el Rey v Reina nuestros Se…</t>
  </si>
  <si>
    <t>Antonio, Josef</t>
  </si>
  <si>
    <t>Josef Antonio</t>
  </si>
  <si>
    <t>…turbe 10, D. Ramón de Azpurua 5 , Dv Miguel Rabelo Alcántara 16, D. Félix Domingo Martínez 2 , Don Juan: Esteban de dEehezuria 20, D. Bernardo Pénelas 20, T). Antonio Na;yarro 20, D. 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t>
  </si>
  <si>
    <t>Antonio, Juan</t>
  </si>
  <si>
    <t>Juan Antonio</t>
  </si>
  <si>
    <t>…os fines que le convengan. En el juzgado del Sr. D. Joaquín de Almazan , del Consejo de S. M., teniente primero de corregidor de esta muy heroica villa, y escribanía dei número de Don Juan Antonio de lírraza, se hallan pendientes los autos principiados á instancia de D. Francisco de Ayala, teniente coronel de los Reales egércitos , y vecino y regi dor perpetuo de la ciudad de Málaga, contra el Sr. D. Josef Francisco de Xa vira*</t>
  </si>
  <si>
    <t>…ir á los vecinos pobres gratui tamente , á ios pudientes por dos reales de vellón en cada visita, y de suplir las au sencias y enfermedades de su cirujano titular jubilado el Lie. D. Juan Antonio deUgalde en el hospital civil * casa, de misericordia y cárcel. El que fuere nombrado : para, la nueva plaza entrará .en efgocede la que aquel tenia después de sus dias, .con . la dotación que le estaba asignada antes de su jubilación de 800 ducados anualés,…</t>
  </si>
  <si>
    <t>…aduado D. Pedro Jaso, marchase con 20 cazadores y granaderos, y: atacase por el frente, y yo ton'el resto dé infantería y caballería desmonta da , con el teniente coronel graduado D. Juan Antonio de la Cueva , y el ca pitán de dragones de España D. Juan Díaz, me dirigí á flanquearlos, tenien do que vencer para él logro de esta operación una altura de mas de tres cuar tos de legua, sin camino, por encima de las peñas, desalojando algunos gru pos que co…</t>
  </si>
  <si>
    <t>Antonio, Nicolás</t>
  </si>
  <si>
    <t>Nicolás Antonio</t>
  </si>
  <si>
    <t>…de la nación española , en 18 cuadernos de á ó, que contienen: i.Q Don Antonio Leiva, Ambrosio Morales,, el P. Juan de Mariana&gt; Fr. Lope Félix de Vega Carpió, D. Antonio Solis, y D. Nicolás Antonio: 2.° el cardenal Gil Albornoz, Gonzalo Fernandez de Córdoba, el gran duque de Alba, Arias Montano, D. Fran cisco Quevedo y Villegas, y D. Juan de Ferreras. (ÍV continuarán.') Por el juzgado de provincia del Sr. D. Andrés Oller,. del Consejo de S. M., al calde…</t>
  </si>
  <si>
    <t>Antonio.-Gamps</t>
  </si>
  <si>
    <t>842</t>
  </si>
  <si>
    <t>…en la parre que le corrdsponde ; advirtiéndole que' he hombrado -ál; mariscal de campo D. Antonio Garcés de Martilla para comandante general del cófdon de levante, y al brigadier ;D. Antonio.-Gamps para el de poniente. 1 - ' . Dios guarde á V. muchos - anos: ; Valencia 6&gt; de Julio dé 1818. = Josef 0-Donell. = Cosme de Teresa, secretario.” Jístado general comprensivo de das tropas de infantería"ycabalhríar&gt; que . según las últimas órdenes .deben &lt; cubrir…</t>
  </si>
  <si>
    <t>AntonioRecalde</t>
  </si>
  <si>
    <t>…osiciones: lo son también los vecinos principales dél pueblo capitán D. Francisco Delgado, teniente Don Luis.Vieira, administradorde correos D. Corneüo Roaro, D. Camilo Cama» cho, D. AntonioRecalde, D. Manuel Herrero * D. Juan Larrondo y D. Vicente. Arana, por la prontitud con que facilitaron sus sirvientes, armas y caballos. y, Dios guarde á vmdL muchos años. Acambaro Enero 19 de 1818. = Ramon García y Reguera.z=Sr. sargento mayor D. Josef de Castro ”…</t>
  </si>
  <si>
    <t>AntonTd'SáñcÍM</t>
  </si>
  <si>
    <t>…vifiía de.Oropesa* que haáulé pyoveersejpor ©podcÍQmLosprtXesares, precisamenté!seculares, que las prestendan se presentarán á firmarla en el oficio del escribano de ayuntamiento D. AntonTd'SáñcÍM. tliláJTorre, por sí ó por medio de apoderado, dentro de 30 dias, que</t>
  </si>
  <si>
    <t>Antor</t>
  </si>
  <si>
    <t>…e,'.20o.·p~: .sos'~ crea,cion de ~aro 4~ r,8~8, 1l~n •. 849, de impo.rte:de 888Q~ ~s',rn, ~n~a~,ezf\do á .la orden de I? Nlcolas de la Herran, y ,endosado por este en Cadlza la de D. Antor nio Xi meno , del comercio de Sevilla, se suplica al sugeto en cuyo poder 'párage' .se _sirfa,e?tr~g~r1o ~ M"llddd,tlps ~res. Pi~illos y.Perez; en Sevilla á D. Antonio Xilnd~ ,no t y en Cádiz á D. Nicolas de la Herran; p~eviniéndose, 'para eyitar su circu1aci…</t>
  </si>
  <si>
    <t>Antuñano, Miguel Antonio de</t>
  </si>
  <si>
    <t>Miguel Antonio de Antuñano</t>
  </si>
  <si>
    <t>…ncipal de este dicho egército y reino. Madrid Jp de Octubre, A R TI CU 1.0 DE OFICIO. S. M. se ha servido conceder los honores dél tribunal de la Rota de Ik Nunciatura dé España á D. Miguel Antonio de Antuñano: los de alcalde del crimen de la chancillería de Granada á p. Joaquín Cerigotita Vengoá, cor regidor de Alcalá de Henares: los de alcalde de la Cuadra de la audiencia de Sevilla á D. Diego de la Peña Sánchez, alcalde mayor jubilado dé lo.crimi nal y policía d…</t>
  </si>
  <si>
    <t>Antunez, Juan</t>
  </si>
  <si>
    <t>Juan Antunez</t>
  </si>
  <si>
    <t>…,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 Martin Saenz, de Lebrija: Don Fraiieised1 González y D. Josef Martínez , de Sanlucar de Barrameda : D'. Josef Moreno, D. Manuel Felipe Caballero, D* Gaspar…</t>
  </si>
  <si>
    <t>Aór</t>
  </si>
  <si>
    <t>…y 6l soldados heridos ¿ y 94 soldados prisioneros. Los oficiales muertos del regimiento de Návarra son los capitanes D. Ma nuel Mendoza, D. Pascual Amatelos tenientes con grado de capitán D. Aór drés Rico, D.Torñas Perez Trujillo, los tenientes D. Josef del Cerro , Doq Guillermo Pinilla, D, Domingo Verastigui, los subtenientes D. Josef Cea, D.* Nicolás Calderón y D. Vicente García : heridós los tenientes D. Francis co Latorre, D. Castor. Martínez y e…</t>
  </si>
  <si>
    <t>Apa-, Juan Ruiz de</t>
  </si>
  <si>
    <t>Juan Ruiz de Apa-</t>
  </si>
  <si>
    <t>…ifesté á V. E. en el mió número 1098 de 28 del ultimo Oc tubre. ,, Dios guarde á V. E, muchos años. Puebla Noviembre 8 de 1817.es Excmo. Sr ssCiríaco de Lia no. = Excmo. Sr. virey D. Juan Ruiz de Apa-*1 daca,” 2.0 Del teniente coronel D, Juan de Ateaga. „ El fuerte temporal de la noche del 6 del corriente me impidió atacar el 7 á los rebeldes del Coy oxquihui y sus inmediatos cantones por los insu perables obstáculos que presentaban las crecientes de los a…</t>
  </si>
  <si>
    <t>Apallua, Juan de Uribe</t>
  </si>
  <si>
    <t>Juan de Uribe Apallua</t>
  </si>
  <si>
    <t>…ante el nominado señor juez, y por la escribanía del expresado Seco. Por providencia de la Real audiencia de.Sevilla, dada en los autos de concurso de acreedores á los bienes del general D. Juan de Uribe Apallua , á instancia de£ sucesor de uno de ellos se ha mandado citar y emplazar por medio de ía gaceta*á to dos los acredores é interesados al mencionado concuaso, para queden el preciso tér mino de 30 dias-se presenten*y persoñén én la misma Real audiencia y su esc…</t>
  </si>
  <si>
    <t>…e la expo sición, y en la calle de Alcalá, núm. 5 , cuarto principal. Por providencia de la Real audiencia de Sevilla, dada en los autos de concurso de acreedores á los bienes del general D. Juan de Uribe Apallua y Doña María de Ozaeta, su muger, á instancia del sucesor y herederos de uno de ellos, se ha man dado citar y emplazar por medio de la gaceta á todos los acreedores é interesados al mencionado concurso, para que en el preciso término de 1 5 dias, que por segundo, ú!tinao…</t>
  </si>
  <si>
    <t>Aparicio, Eugenio</t>
  </si>
  <si>
    <t>Eugenio Aparicio</t>
  </si>
  <si>
    <t>…la flor de Lis de Francia. El supremo Consejo de Hacienda en sala primera de Justicia por providencia de 3 de Enero ha acordado que D. Felipe Ramírez , D. Joaquín Hernández Llano; D. Eugenio Aparicio y D. Martin Planté, corredores de cambio, juros y seguros de esta corte, paguen inmediatamente las anualidades vencidas que estuviesen de biendo, y lo hagan en lo sucesivo de las que se vencieren; y ha señalado á los mis mos por últim* y perentorio término el de 15 dias, con ap…</t>
  </si>
  <si>
    <t>Aparicio, Manuela</t>
  </si>
  <si>
    <t>Manuela Aparicio</t>
  </si>
  <si>
    <t>…ones á una de las huérfanas de los militares ó patriotas que hubiesen muerto en defensa de la justa causa de la nación, ha cabido en suerte del primer extracto de la de este dia á Doña Manuela Aparicio, comprendida en los víctimas del Dos de, Mayo. A R T I C IT L O í&gt; E OFICIÓ. • J T * ^ S. M. se ha dignado nombrar para el obispado de la Paz, vacante por tras lación de T&gt;. Diego Navarro de Villodres al arzobispado de Charcas , á Fray Antonio.Matas: paradla…</t>
  </si>
  <si>
    <t>Apellaniz, Antonio de</t>
  </si>
  <si>
    <t>Antonio de Apellaniz</t>
  </si>
  <si>
    <t>…xámenes en las salas consistoriales los dias 10 y n del corriente al concluirse el primer año de su instalación. La presencia de aquella corporación que tan dignamente componen el Sr. D. Antonio de Apellaniz, corregidor de este muy noble, y muy leal se ñorío, D. Cirilo Perez de Nenin, alcalde y juez ordinario, los señores re gidores , síndico y demás capitulares de esta noble villa, y la asistencia de diferentes oficiales generales, prelados de varias órdenes rel…</t>
  </si>
  <si>
    <t>Apo, Juan Ruiz de</t>
  </si>
  <si>
    <t>Juan Ruiz de Apo</t>
  </si>
  <si>
    <t>…ilitares , por lo que le considero digno de la atención deV. E. „Dios guarde á V. E. muchos años. Bejar Junio 23 de 18ly.z^Excelentísimo Sr. = Antonio Martínez. = Excmo. Sr. virey D. Juan Ruiz de Apo«* daca.” El mismo Sr. Excmo. ha mandado se den las gracias en nombre de S. M:. á este benemérito gefe, oficiales y tropa, recompensando su mérito y este importante servicio con el grado de coronel de egército al expresado gefe Martinez, y el inmediato en su c…</t>
  </si>
  <si>
    <t>…n, observándose en ellos no haDer ocurrido novedad alguna. ,,Dios guarde á V. E. muchos años. Chalco i.° de Mayo de 1818. = Exce lentísimo Sr. = Bernardo López. = Excmo. Sr. virey D. Juan Ruiz de Apo daca.” MEXICO. Oficio del teniente coronel y comandante de la línea del norte de esta capital D. Rafael Cas asóla. : ,, Excmo. Sr.: El territorio de esta línea del norte de mi cargo logra una total tranquilidad, sin haber bandido alguno que la infeste. ,,Dios…</t>
  </si>
  <si>
    <t>Apodaca, Juan Ruiz de</t>
  </si>
  <si>
    <t>Juan Ruiz de Apodaca</t>
  </si>
  <si>
    <t>…ación al ver disminuidas sus fuerzas de esta manera. ,»D-ios guarde á V. E. muchos años. Actopan Marzo 17 de 1817.= Excmo. Sr.=Josef Joaquín Márquez y Do na U o. =Excmo. Sr. virey Don Juan Ruiz de Apodaca*.’1</t>
  </si>
  <si>
    <t>…misiones por los reli giosos que están dispuestos á egecutarlo. &gt;,Dío$ guarde á V. E. muchos años. Guadalajara Mayo 14 ¿¿1817.= Excmo.'Sr. = Josef de la Cruz. = Exento. Sr. virey D. Juan Ruiz de Apodaca.” Partes del comandante militar de Tepic D. Joaquín Mondragon. 2.0 ,, Excmo. Sr.: Acabo de recibir el juramento de lealtad y vasallage que han prestado á nuestro Rey y Sr. D. Fernando vil 200 y tantos hombres que al cargo de los principales cabecillas Gamboa…</t>
  </si>
  <si>
    <t>96</t>
  </si>
  <si>
    <t>…por lo que pue da interesar. ■ v T;,.„Dios guarde á V. E. muchos años. Silao 27 de Octubre' de 1817 á las ocho de la noche. =Excmo. Sr. = Francisco de Orrantía. = Excmo. Sr. virey D. Juan Ruiz de Apodaca.” S. £. desea con ansia los pormenores de esta acción militar , que espera ¿por el coinducto del mariscal de campo D. Pascual de Liñan, comandante en gefe de la división q,ue opera.en el Bajío, de quien depende la sección deil coronel Orrantía , para premiar…</t>
  </si>
  <si>
    <t>…ela anticipado el comandante militar de Silao. „Dios guarde á V. E. muchos años. Irapuato Octubre 28 de 1817 á las seis y media de la mañana. =Excmo. Sr.=Juan de Pesquera. =Excmo. Sr. D. Juan Ruiz de Apodaca.” Partes del coronel D. Rafael JBracho. i.° ,,Excmo. Sr.: En este mismo momento, que son las nueve del dia, acabó de recibir por un correo escotero el adjunto pequeño pliego del coro nel D. Francisco de Orrantía, que sin pérdida de tiempo remito á V. E., pers…</t>
  </si>
  <si>
    <t>129</t>
  </si>
  <si>
    <t>…to, en que hubo salva de artillería según ordenanza en la mon taña de Pío, y repique general de campanas, con iluminación en las tres noches consecutivas. El virey de Nueva-España D. Juan Ruiz de Apodaca, con fecha de 9 de Julio último, dice desde México al Sr. Secretario de Estado y del Despa cho de la Guerra lo que sigue: „Excmd. Sr.: Consiguiente á lo que dije á V. E. en mi parte núm. 21 de 30 .de Junio último, sobre que los rebeldes se sostenían obstinada…</t>
  </si>
  <si>
    <t>…levaron al patio, y allí fue arca buceado inmediatamente. ESPAÑA. * „ » - ' * t ! Madrid 4 de Febrero. A R T ICÜLO DE OFICIO. Después de haber participado el virey de Nueva-España D. Juan Ruiz de Apodaca ai Sr. Secretario de Estado y del Despacho de la Guerra el des-: embarco del traidor Mina en el territorio que está á su cargo, sus primeras operaciones en él , las medidas que había tomado para su destrucción , y el resultado de algunos encuentros que habían…</t>
  </si>
  <si>
    <t>…nación, ha cabido en suerte del primer extracto de la de este dia á Prudencia Rodríguez, comprendida en ios víctimas del Dos de Mayo. ARTICULO DB OFICIO. El virei de Nueva-España D. Juan Ruiz de Apodaca con fecha de 30 de Setiembre del año anterior dice entre otras cosas al Sr. Secretario de Estado y del Despacho de la Guerra lo que sigue: ,, Excmo. Sr. •. Concluida la toma y destrucción del fuerte construido por los rebeldes en la sierra de Comanja, como ma…</t>
  </si>
  <si>
    <t>…Dios guarde á V. E. muchos años. Cuartel general en el cerro del Be llaco sobre el fuerte de los Remedios 18 de Octubre de i8i7. = Excmo. Sr.= Pascual de Liñan.^Excino. Sr. virey D. Juan Ruiz de Apodaca.” 2.0 Del coronel D. Francisco de Orrantía. r ,,En cumplimiento á las órdenes de V. S. salí á la una de la mañana del 9 del corriente del campo del plan de S. Gregorio con 200 infantes de las compañías de cazadores y granaderos de Zaragoza,y i.° Americano,y 6…</t>
  </si>
  <si>
    <t>Gaceta de Madrid n.º 24</t>
  </si>
  <si>
    <t>…providencia espero merezca la superior aprobación de V. E. ,,Dios guarde á V. E. muchos años. Tuxpan 12 de Octubre de 1817.= Excmo. Sr. =Cárlos María Llórente. = Excmo. Sr. virey D. Juan Ruiz de Apodaca ” (Se continuaran.) Makon 4 de Febrero. Ayer fondeó en este puerto una corbeta de guerra tunecina, cuyo arraez preguntó si había llegado aquí una división de su nación. Se dice que esta corbeta lleva un embajador á Londres, y que saldrá dentro de pocos dias.…</t>
  </si>
  <si>
    <t>…manos de V. E. con la brevedad que deseo. ,,Dios guarde á V. E. muchos años. Irapuato Octubre 28 de 1817 á las dos de la mañana. = Excmó. Sr.=Juan de Pesquera. = Excmo. Sr. virey Don Juan Ruiz de Apodaca.” Y anhelando S E. no retardar un momento tan plausible noticia á los fie les vasallos del Rey nuestro Señor, ha mandado se inserte en la presente ex traordinaria entre tanto se reciben de oficio los partes y pormenores de este feliz acontecimiento. Parte 2.0…</t>
  </si>
  <si>
    <t>Gaceta de Madrid n.º 29</t>
  </si>
  <si>
    <t>244</t>
  </si>
  <si>
    <t>…s comandantes subalternos. V. E. resolverá lo que sea de su superior agrado. „Dios guarde á V. E. muchos años. Teloloapan 19 de Octubre de 1817.= Manuel Gómez, ss Excmo. Sr. virey D. Juan Ruiz de Apodaca.” Parte del teniente coronel JÓ. Mateo Cuilti. „Excmo. Sr.: Tengo el honor de participar á V. E. que el dia de ayer</t>
  </si>
  <si>
    <t>…uyo punto espero las superiores, órde nes dé V. E. „Dios guarde á V. E. muchos años. Campo sobre Suchitla á 18 de Oc tubre de 1817. = Excmo. Sr. = Mateo Cuilti. = Excmo. Sr. virey D. Juan Ruiz de Apodaca ' TULA. ' Oficio del teniente coronel y comandante 2&gt;. Pedro de AntonelL „ Excmo. Sr.: La gavillita del capitán cabecilla Josef Antonio Miranda, nativo de la hacienda de Sblís i de la jurisdicción de Ixtlahuaca, que reunía 13 hombres con 6 armas de fuégqjy&gt;7…</t>
  </si>
  <si>
    <t>…miento. „Dios guarde á V. E. muchos años. Cuartel general del plan del frente del fuerte de los Remedios Setiembre 5 de 1817. = Excmo. Sr. = Pascual de ■&gt;Tiñan. = Excmo. Sr. virey D. Juan Ruiz de Apodaca.” 2.0 Parte del brigadier D. Pedro Celestino Negrete. „ Acompaño á V. S. el oficio original del coronel de dragones de NuevaGalicia D. Josef Antonio de Andrade, segundo comandante de la división áp mi cargo, con que me da parte detallado de la gloriosa defens…</t>
  </si>
  <si>
    <t>Gaceta de Madrid n.º 36</t>
  </si>
  <si>
    <t>…de los auxilios espirituales ha sido fusilado hoy. ' I ,,D¡os guarde á V. E. muchos años. Valladolid 12 de Noviembre de '1817.3= Excimó. Sr. = Josef de Castro. = Excmo. Sr. virey D. Juan Ruiz de Apodaca.** Parte del capitán D. Joaquín Parres. ^ „ Cumpliendo la orden verbal de vrnd. salí de esta plaza á las 12 del diá con los primeros infantes y dragones que pudieron alistarse, á fin de reco brar el ganado que robaron en las inmediaciones los rebeldes, perseg…</t>
  </si>
  <si>
    <t>…u superior conocimiento , rn^! terin remite los partes de todo. ,,Dios guarde á V. E. muchos años. Valladolid Noviembre 12 de 1817.5» Excmo. Sr. = Josefde Castro. Excmo. Sr. virey D. Juan Ruiz de Apodaca.** JO el teniente coronel y comandante T&gt;. Francisco de Paula Vtllaldea* . Excmo. Sr.: A las once de la mañana de ayer'recibí la gaceta ex traordinaria del dia anterior que la bondad de V. E. ttivo á bien dirigirme por cordillera egecutiva, en que consta la p…</t>
  </si>
  <si>
    <t>Gaceta de Madrid n.º 40</t>
  </si>
  <si>
    <t>…almente á la tropa, los» considero acreedores á la gracia de V. E. „Dios guarde á V. E. muchos años. Zacoalpan y Octubre, de i8í7.: = Excmo. Sr. = Mateo Cuilti. = Excmo. Sr. virey D. Juan Ruiz de Apodaca.” {Se continuarán.) * ' Zamora i.° de Marzo. La casa de expósitos de esta ciudad, que durarite la ultima guerra había’ quedado sin arbitrios ni recursos, desprovista de camas y utensilios, y falta</t>
  </si>
  <si>
    <t>376</t>
  </si>
  <si>
    <t>…í el oficio que cita el señor de Bustamante de 14 del actual, ; 1 „Dios guarde á V. E. muchos años. Puebla 27 de Setiembre de 1817.= Excmo. Sr.í=Ciriaco de LIano.=Excmo. Sr. virey D. Juan Ruiz de Apodaca.” Parte del teniente coronel graduado T). Sebastian Ramos, „Gon arreglo á las instrucciones de V. S. j reforzando la expedición de mi mando con lá‘tropa del destacamento de Huatusco al mando de su co mandante el espitan de Castilla D. Josef María Martínez , e…</t>
  </si>
  <si>
    <t>…esté al cuidado.de la buena conducta que deben observar. „Dios guarde á V. E. muchos años./TuIancingo 21 de Octubre de 1817.35 Excmo. Sr.= Manuel de la Concha. = Excmo. Sr. virey D. Juan Ruiz de Apodaca.” Parte del capitán D. Francisco Trespalacios. „ Tengo la satisfacción de decir á V. S. que se halla este punto confiado' á mi inmediato mando bajo un estado dei mejor orden y quietud. ,, Llega á tal grado el arreglo y la docilidad de los habitantes todos de…</t>
  </si>
  <si>
    <t>…» M. La que comunico á V. E. para su superior conocimiento. ,, Dios guarde á V. E. muchos años. Toluca y Noviembre 2 de 1817.=: Excmo.. Sr. Francisca A randia.=. Exento. Sr» virey D. Juan Ruiz de Apodaca.** Madrid 1 y de Abril. En el sorteo dé la Real lotería moderna celebrado el dia 15 del corriente salieron sorteados con ios premios mayores los números siguientes:. Números.. Premios.. Administraciones. 20 2 43................... IOQOQ pesos. En Málaga» 1608…</t>
  </si>
  <si>
    <t>Apodaca, Juan Ruíz de</t>
  </si>
  <si>
    <t>Juan Ruíz de Apodaca</t>
  </si>
  <si>
    <t>Gaceta de Madrid n.º 59</t>
  </si>
  <si>
    <t>…santemente con la mejor voluntad. ,,Dios guarde á V. E. mochos años. Cuartel general del cerro del Bellaco * dé Enero de. 1818. = Excmo. Sr. = Pascual de Liñan. = Excmo. Sr. virey D. Juan Ruíz de Apodaca.” . ,,Por el oficial portador, á quien en virtud de la recomendación del /señof</t>
  </si>
  <si>
    <t>…os de á pie executivamente. „Dios guarde á V. E. muchos años. Cuartel general del Cerro del Bella* co 29 de Diciembre de 1817. s Excmo. Sr. = Pascual de Liñan. =s Excmo* Sr. virey D. Juan Ruíz de Apodaca.” Cádiz 5 de Mayo. Convencido D. Francisco Celis, dueño del café del Correo de esta ciu-* dad, de las ventajas y economía que se logran con el alumbrado del gas extraído del carbón de piedra, ha iluminado por via de ensayo, ínterin se dispone el aparato y cañ…</t>
  </si>
  <si>
    <t>…e me acerque i algún poblado. ,,Dios guarde á V. £. muchos años. Campo en Sombrerete, jurisdicción de Husuchinango, 16 de Enero de i8i8.:=Excnio. Sr.= Manuel de la Concha.= Excmo. Sr. D. Juan Ruiz de Apodaca.” $. E. desea lleguen cuanto antes los pormenores de esta acción para pre miar en nombre del Rey nuestro Señor á los que se hayan distinguido, 'dan do desde luego las gracias en su Real nombre á los gefes, oficiales y tropa que han concurrido á ella ; esperan…</t>
  </si>
  <si>
    <t>…lo Sanche* y el sargento Miguel Alfáro*' I . rhq ; e ,, Dios: ¡guarde á!V. E. muchosíaños^iHacienda del Arpnal Enero 21 de «1818.= Excmo. Sr. =sRafael Gásasola. ==Exémo. Sx. virey D. Juan Ruiz de Apodaca.” f 2.0 „Excmo. Sr~: Después de;escrito el adjunto parte he dispuesto qué la mano derecha de Rojas sea colocada ea &lt;ei-mismo sitio en que fusiló al behemérfro capitán de realistas D. Josef Acha, con' los niños que ie acompa— ñaban , cuya sangre inocente clama…</t>
  </si>
  <si>
    <t>Apodaca, Júan Ruiz de</t>
  </si>
  <si>
    <t>Júan Ruiz de Apodaca</t>
  </si>
  <si>
    <t>…ulas de confirmación conducentes, según tenga por oportuno. : ¡ „Dios guarde á V. E. muchos años. Toluca Enero 22 de 1818.=Exce lentísimo Sr.=Nicolás Gutiérrez. = Excmo. Sr. virey D. Júan Ruiz de Apodaca.” Lista que cita el aparte anterior de los presentados á indulto con Vargas en lolúca. ' ‘ ‘ ' . D. Vicente Vargas, titulado brigadier ; D. Eugenio Montesdeoca , id. sargento mayor. Infantería, D. Josef María Sosa, id. capitán; D. Miguel Loranca, id. teniente…</t>
  </si>
  <si>
    <t>…ismo en queda reciba. „ Dios guarde á V. E. muchos años. Valladolid 8 de Febrero de 1818 á las 10 y media de la mañana.= Excmo. Sr. = Josef de Castro.= Excel eu4&gt; tísimo Sr. virey D. Juan Ruiz de Apodaca.” &gt; Oficios del coronel y comandante general D. Matías Martin y Aguirrei 1.® ,, Excmo.;Sr.: Por varios confidentes sabia qúe ?el obcecado cabe-* cilla P. Torres reunía las gavillas del Bagío, Huerta y otras para: atacarme y franquear la fuga á los rebeldes de…</t>
  </si>
  <si>
    <t>Ápodaca, Juan Ruiz de</t>
  </si>
  <si>
    <t>Juan Ruiz de Ápodaca</t>
  </si>
  <si>
    <t>…rar que la continuación de su zelosa vigilancia preservará á la España de tan terrible calamidad. En consideración á los méritos y servicios del teniente general de la Real armada D. Juan Ruiz de Ápodaca , virey de Nuevá-España, se ha'servido S. M. concederle título de Castilla, con la denominación de conde del Venadito. Asimismo se ha servido S. M. conceder título de Castilla, con el dictado de conde de Calderón al teniente general de los Reales egércitos D.…</t>
  </si>
  <si>
    <t>…de los valientes oficiales y soldados de la división de su mando. Dios guarde a "V. E. muchos años. Valladolid Marzo B de 1818. = Excmo. Sr. = Josef de Castro. =:Excmo. Sr. virey D. Juan Ruiz de Apodaca.” S. E. ha mandado dar las gracias á este gefe, como también á las corporaciones, de que hace mención, y al vecindario por sus demostraciones de gozo con tan plausible como interesante ocurrencia. Nota» Los dos extrangeros presos son Cok y Nicolson. El Rey nu…</t>
  </si>
  <si>
    <t>…presentado. ■■ - .*• y : / Yy- ■ ,,Dios guarde'# -Vr E. mu’chos años. ' Gampoenía sierra de Tepecintía Ertero 26 de' 1318. Éxcíno. Sr.=£Cárlós María Llórente.¿= Excmo.. Sr. viréy* D. Juan Ruiz de Apodaca.” " : &lt;■ I : ' *' ’ : : ? Aranzueque [provincia de.Guaflalajara) 13 de Julio. r&gt;u.~ y Esta villa tuvo el dia 10 del presente’ mes' fe incomparable satisfacción y honor de disfrutar de lá ;amable presencia del Rey nuestro Señor , su au gusta‘Esposa , ySeímoV-S…</t>
  </si>
  <si>
    <t>…disposición de V*. F. en com pañía de loS primwos. ; -J¿ „Dios guarde á V. E. muchos años. Teloloapan Enero 22 de 1818.= Excmo. Sr. == Josef Gabriel de Armijo. = Excmo. Sr. virey D. Juan Ruiz de Apodaca.” . . Oviedo 16 de Julio* . ; ; . i(; . / • La Real sociedad económica;de Amigos del país de esta capital., siempre constante en promover los .laudables objetos de su instituto, después- de haber adjudicado los premios de que se ha dado ya cuenta al público ,…</t>
  </si>
  <si>
    <t>…quitándoles 5 retacos, va rios machetes y 20 caballos. i ,,Dios guarde á V. E. muchos años. Guadalajara 5 de Noviembre de 1817. = Excmo. Sr. = Josef de la Cruz. = Excmo. Sr. virey D. Juan Ruiz de Apodaca.” Parte del comandante JD. .Anastasio JBrizuela que se cita en el anterior. • ,,Excmo. Sr.: Acaba de llegar el teniente de realistas D. Feliciano Avalos, que salió hoy á las ocho de la mañana del sitio del fuerte de S. Grego rio, y ha logrado coger en el cami…</t>
  </si>
  <si>
    <t>…traslado á V. E. para su debido supe rior conocimiento. ,,Dios guárde á V. E. muchos años. Guadalajara 26 de Diciembre de 1817.= Excmo. Sr. = Josef de la Cruz. = Excmo. Sr. virey D. Juan Ruiz de Apodaca.” Zaragoza 26 de Julio. Penetrada esta Real academia de S. Luis de lo necesario que es estimular á la juventud dispuso distribuir á los discípulos de ella unos premios, reduci dos á unas medallas de plata con ios retratos de SS. MM., y al reverso las armas de…</t>
  </si>
  <si>
    <t>…este gefe á las órdenes del teniente D. Celso Díaz. ' ,,Díos guarde á V. E. muchos años,. Guadalajara 31 de Diciembre dp 1817. = Excmo. Sr. = Josef de la Cruz. = Excmo. Sr. virey D. Juan Ruiz de Apodaca.” ■? ‘ •' . • ,i V. ........... ,:fParte del sargento ntayor D. Juan Flores. i ; ,,Excmo; Sr; :■ En el dia de ayer dispuse que saliese con dirección á los pueblos del Rincón el teniente de drágones de Nueva-Gal ida D. Celso Díaz y, cf de igual clase D.Mariano…</t>
  </si>
  <si>
    <t>…ronel ■de milicias provinciales, para que lo consulto. ■; - : Dios guarde á V.E. muchos años. Guadalajara 30 de Enero de i8i8.=r Exemo. Sr. = Josef.de la Cruz. == Exemo. Sr. virey D. Juan Ruiz de Apodaca.” -Parte del coronel D. Hermenegildo Revuelta que se cita en el anterior. ; ,, Exemo. Sr.: El dia 22 á las seis de la tarde hice salir de esta al capitán' del cuerpo de frontera de Cólotlan D. Manuel Campos con la fuerza de no' hombres bien montados, con orde…</t>
  </si>
  <si>
    <t>…cerro de Casas Viejas, punto de la provincia de Valladoüd. ,, Dios guarde á V. E. muchos años. Guadala’ara 26 de Enero de i8i8.=r Exemo. Sr. = Josef de la Cruz. =: Exemo. Sr virey D. Juan Ruiz de Apodaca.*' Parte del___ teniente coronel D. H ^Tuan Antonio Brizucla.___ ,, Exemo. Sr.: El teniente coronel D. Amonio García Rojas con fecha da ayer á las siete de la noche desde Tangancícuaro entre otras cosas me dice lo siguiente: ,, A las nueve de anoche mandé al…</t>
  </si>
  <si>
    <t>…prender á los rebeldes amadrigados en lá sierra de Coman ¡a. ,,Dios guarde á V. E. muchos años. Guadalajara 27 de Enero de 1818. Excmo. Sr. =, Josef de lá Cruz. = Excmo. Sr. virey D. Juan Ruiz de Apodaca^ Parte del coronel £&gt;¿ Hermenegildo Revuelta. „ Excmo. Sr.: El 18 á las tres de la tarde tuve noticia de que una cortil gavilla procedente de la sierra de Coniarija se había aproximado á la villa de la Encarnación, en donde había ocasionado algunos males: con…</t>
  </si>
  <si>
    <t>…acias que la superioridad'de V. E. tenga á bien dispensarles. , , ‘ ,,Diós guarde áY. E. muchos años. Querétaro Enero 21; de 1818.== Excmo. Sr. = Rafael Bracho. = Excmo. Sr. virey D. Juan Ruiz de Ápodaca.” S. E. en vista de este parte ha concedido el grado de subteniente al sar gento de realistas D. Josef María Juárez, y prevenido asciendan á cabos los soldados Francisco Montané y Josef María Veloz , dando las gracias á todos ,por su buen porte. . ■ . ? : , .…</t>
  </si>
  <si>
    <t>…ieron á aquel cabecilla, los recomiendo á la superioridad de V. E. ,,Dios guarde á V. E. muchos años. Querétaro Enero 28 de i8i8.=r Excmo. Sr. = Rafael Bracho. =: Excmo. Sr. virey D. Juan Ruiz de Apodaca.” Parte del capitán D. Manuel Diaz del Campo, ,, Al amanecer de este dia destaqué una partida de 70 dragones de Espa ña y Querétaro al mando del teniente graduado de Zamora D.: Francisco Sanz, con los oficiales teniente D. Josef Vázquez y alférez D. Andrés Mo…</t>
  </si>
  <si>
    <t>…mentos originales elevo al superior conocimiento de V. E. ,,Dios guarde á V. E. muchos años. Jalapa Febrero 8 de 1818. =r Exce lentísimo Sr.=Diego García Conde. = Excmo. Sr. virey D. Juan Ruiz de Apodaca.” Oficio del coronel y comandante de Tuxpan D. Carlos María Llórente. . ,,Cada dia se hacen mas visibles los felices resultados de las constantes y activas operaciones de las tropas que tengo el honor de mandar. AI paso que se va asegurando con la mayor rapid…</t>
  </si>
  <si>
    <t>…en todo el sitio. ,, Dios guarde á V. E. muchos años. Fortificación de Jaujilla 6 de Mar zo de 1818 á las 8 de la mañana. = Excmo. Sr. = Matías Martin y Aguirre.= Excmo. Sr. virey D. Juan Ruiz de Apodaca.” S. E. en vista de este parte, y de ser el ultimo punto fortificado que te nían los rebeldes en este reino, y con el que se cuentan 57 tomados á estos desde su ingreso á este mando, ha mandado se anuncie al publico con salva de artillería y repique general d…</t>
  </si>
  <si>
    <t>…los valientes oficiales y soldados de la división de su ‘mando. ,, Dios guarde á V. E. muchos años. Valladolid Marzo 8 de 1818.= Excmo. Sr. := Jósef de Castro. =: Excmo. Sr. virey D. Juan Ruiz de Apodaca." S. E. ha mandado dar las gracias a este gefe, como también á las corpo raciones de que hace mención y al vecindario por sus demostraciones de gozó -con tan plausible cómo interesante ocurrencia. ° Nota. Los dos extranjeros presos son Cóok y Nicolson. Madrid…</t>
  </si>
  <si>
    <t>Gaceta de Madrid n.º 116</t>
  </si>
  <si>
    <t>…n concederles las gracias á que los considera «creedores. ,,DIos guarde á V. E. muchos años. Xalapa Febrero 8 de r818. = Exce lentísimo .Sr,= Diego García Conde. =Excmo. Sr. virey D. Juan Ruiz de Apodaca.” ........... Oficio del coronel y comandante de Titxpan D, Carlos María Llórente. ,, Habiendo regresado felizmente el capitán de milicias de Tampico Don Antonio Chirinos de la expedición que le mandé practicar contra los insur gentes de las inmediaciones de…</t>
  </si>
  <si>
    <t>…actividad bien co nocida merece el aprecio de V. E. ,, Diós guarde á/V. E. muchos años. Chilpancingo Febrero 23 de 1818.= Excmo. Sr. = Josef Gabriel de Armijo. = Excmo. Sr. virey D. Juan Ruiz de Apodaca.” 'Parte del teniente coronel JD. Juan Isidro de Marrón. 1 ,, Desde el dia quétuVe.iióticia- de que el rebelde Pabló Campos había sor prendido á 13 hombres de esta sección en- las orillas de S. Cristóbal, como no ticié á V.S., me propuse no dormir ni descansa…</t>
  </si>
  <si>
    <t>…ibuyeron á ella, para las gracias que tenga á bien V.E. concederles. ,,Dios guarde á V. E. muchos años. Valladolid Enero 23 de 1818.= Excmo. Sr.=Josefde Castro. = Excmo. Sr. virey D. Juan Ruiz de Apodaca.” Parte del comandante JD. Ramón Reguera, ,,En la madrugada del 17 del corriente robo una gavilla de rebeldes de Ja hacienda de S. Cristóbal una punta de ganado. En el momento que lo supo el teniente D. Agustín González, comandante del destacamento de la Trin…</t>
  </si>
  <si>
    <t>…les dispense lá .consideración que juzgue con veniente. . ,,Dios guarde á V. E. muchos años. Salvatierra Febrero 9 de 1818.=: Excmo. $r. = Antonio de Larragoiti. =Excmo. Sr. virey D. Juan Ruiz de Apodaca.” Parte del teniente X&gt;. Valentín Vera ,, A las tres de la mañana de este dia dispuse ensillaran sus caballos los rea listas de este destacamento con objeto de ir á zelar sus rancherías inmediatas) con precaución del robo; y habiendo llegado á Palo alto tuve…</t>
  </si>
  <si>
    <t>Apodaca, Juan Rüiz de</t>
  </si>
  <si>
    <t>Juan Rüiz de Apodaca</t>
  </si>
  <si>
    <t>…fe por su zelo infatigable, valor y buena disposición. . * ,,Dios guarde á V. E. muchos años. Valladolid Abril 12 de 1818.= Excmo. Sr. = Matías Martin y Aguirre.==Excmo. Sr. virey D. Juan Rüiz de Apodaca.” ( Se continuarán.) $ Zaragoza go de Setiembre. D. Josef Blas Blanco, González de Laisequilla, Yebra, Roson y Pímentel, caballero de las órdenes militares de Santiago y S. Hermenegildo, dd Consejo de S. M., su secretario cóñ egércicio de decretos, intendente…</t>
  </si>
  <si>
    <t>1069</t>
  </si>
  <si>
    <t>…s pueblos y conducir' á ellos los pocos bienes que Jes han quedado. ; ,,Piós guarde á V. E. muchas años. Amatepec Abril 5 de 1818.= Excmo« Sr. sr Miguel Torres. = Excmo. Sr. virey D. Juan Ruiz de Apodaca.” ¿ COMANDANCIA GENERAL DE PUEBLA Y VERACRUZ. . . . i Oficio del brigadier y comandante general T&gt;. Ciríaco de Llano. „ Excmo. Sr.: He recibido consecutivamente del comandante del fortín del Encero los dos partes que originales elevo ai superior conocimiento…</t>
  </si>
  <si>
    <t>…Sabino, sitüado en él valle de Quencio, cuya sumaría se está^formando. „ Dios guarde á V. E. muchos años. Citacuaro Abril 8 de i8i8.=Excmo. Sr.= Pío María Ruiz. rtExcmo. Sr. virey D. Juan Ruiz de Apodaca.” tezcucó. ‘ Oficio del teniente coronel y comandante D. Antonio* de Elias Saenz. ,, Excmo* Sr.: Con el debido respeto elevo al superior conocimiento de V. E. los partes origínales de los comandantes subalternos de esta de mí car go , y del de ja partida vola…</t>
  </si>
  <si>
    <t>Apodaca, Juan Rúiz de</t>
  </si>
  <si>
    <t>Juan Rúiz de Apodaca</t>
  </si>
  <si>
    <t>…nación en la! carrera del crimen de lesa Mágestaa. , \ J c ' i ; „ Dios guarde á V.E. muchos años. Salamanca Abril'6 de! i8i¿-.¿cExcmo^ Sr» = Antonio de Linares; == Excmoí' Sr. vi rey D. Juan Rúiz de Apodaca.” Parte del teniente coronel í&gt;. Ffoilán £ osinos. „Ya dije á.V¿ S. en mi oficio desde Dolores fecha 19 como me dirigra,' fta cumplimiento de las órdenes que me tenia comunicadas, por el rumbo de S. Felipe con ebobjetó de buscar los cabecillas que se acogen é…</t>
  </si>
  <si>
    <t>…paso a las superiores manos de V. E. para su satisfacción. &gt; ' 1 ,,Dios guardé á V. E. muchos años. Toluca Abril 17 de 1818. = Excmo. Sr. = Nicolás Gutiérrez. == Excmo. Sr. virey D. Juan Ruiz de Apodaca.” Parte del capitán D. Juan Zamorategui. ,, En debido cumplimiento á las órdenes verbales que él día de ayer por la mañana se sirvió V. darme en él pueblo de Ocuila , marché dé éste con direccion'-á los parages -nombrados el Agua bendita y Minas viejas’en sol…</t>
  </si>
  <si>
    <t>…V. E. se sirva premiarlos del modo que consi dere justo. . . ,,Dios guardé á V. E. muchos años. Guadalajara Marzo 15 de 1818. =r Excmo. Sr. = Josef de la Cruz. = Excmo. Sr. virey D. Juan Ruiz de Apodaca.” Sig ue el parte de D- Luis Qiiintanar, acompañando el del teniente coro nel JO. Josef María Vargas, que es del tenor siguiente: , ,, En cumplimiento de la orden de V. S., y á pesar de Jo arriesgada que consideré iba la corta partida de 60 hombres para una e…</t>
  </si>
  <si>
    <t>iii8 Dios guarde á V. E. muchos años. S. Luís Potosí Mayo 24. dé 1818. a Excmo. Sr. = Manuel María de Torres. = Excmo. Sr. virey D. Juan Ruiz de Apodaca.” SONORA. El Excmo. Sr. virey, para que el público se instruya de la tranquilidad^ seguridad que se disfruta en las provincias internas de Sonora y Sinaloa, lía mandado insertar en la gaceta el siguiente parte: „ Excmo. Sr. : Después de haber dado gracias al…</t>
  </si>
  <si>
    <t>1164</t>
  </si>
  <si>
    <t>…n la pacificación, or ganización y arreglo de impuestos. „Dios guarde á V. E. muchos años. Valladolid Abril 15 de 1818. sr Excmo. Sr. = Matías Martin y Aguirre. = Excmo. Sr. virey D. Juan Ruiz de Apodaca.” 2.0 ,, Excmo. Sr.: Despúes de mi parte anterior semanal recibí noticia de la derrota que hizo sufrir el teniente coronal D. Miguel Barragan á la ga villa del rebelde Chiviliny en la hacienda deTomendan el 31 del próximo pa sado Marzo, que comuniqué á V. E.…</t>
  </si>
  <si>
    <t>…Y lo comunico á V. E. en cumplimiento de su superior orden. &gt; . - ,, Dios guarde á V. E. muchos anos. Toluca Abril 25 de iSi8.= Excmo. Sr. = Nicolás Gutiérrez. = Excmo. Sr. virey D. Juan Ruiz de Apodaca.” ZACUALPAN. Oficio del teniente coronel y comandante D. Mateo Cuilty. ,, Excmo. Sr.: En lá demarcación de mi mando no ocurre novedad digna de la alta consideración de V. E. „Dios guarde á V. E. muchos años. Zacualpan Abril 23 de i8i8.==Excmo. Sr. = Mateo Cui…</t>
  </si>
  <si>
    <t>…idad. Y lo participo á V. E. para su debido superior conocimiento. ,,Dios guarde á V. E. muchos años. S. Angel Abril 26 de 1818.:= Excmo. $r.= Marcos Rodrigues. = Excmo. Sr. virey D. Juan Ruiz de Apodaca.” Idem 4 de Junio. LLANOS DE A PAN. Oficio del comandante general coronel JO. Manuel de la Concha. „Excmo. Sr.: En el punto de Ixliuntlan de la Sierra alta se han presenta do á gozar de la Reai gracia del indulto 80 familias, y en el de Chumatlanc 2 5 rebelde…</t>
  </si>
  <si>
    <t>…doy á V. E. en cumplimiento de lo que se ha servido prevenirme. ,,Dios guarde á V. E. muchos años. Jalapa Mayo 22 de 1818,¡^Exce lentísimo Sr.=Ciriaco de Llano.=:Excmo. Sr. virey D. Juan Ruiz de Apodaca.” IXTLAHUACA. Oficio del coronel y comandante D. Pió María, Ruiz. ,,Excmo. Sr.: En las demarcaciones de Ixtlahuaca y Temascaltepec, que están á mi cargo, no ha ocurrido en la semana anterior otra novedad particu lar que la muerte de un rebelde y aprehensión d…</t>
  </si>
  <si>
    <t>1231 ...... . '7;Dios guarde á V. E. muchos*5ños. Zacuálpan Mayo 28 de 1818.^Exce lentísimo Sr.= Mateo Quilfy. = Excmo. Sr. virey D. Juan Ruiz de Apodaca,” ' TOLUCA. Oficio del teniente coronel y comandante D. Nicolás Gutiérrez. ,, Excmo. Sr.: El sosiego y buen órden que se disfruta en esta demarca ción de mi cargo no le perturba novedad alguna de atención; pues un ladrón-’ cilio ratero que andaba por jos ranc…</t>
  </si>
  <si>
    <t>Gaceta de Madrid n.º 149</t>
  </si>
  <si>
    <t>1238</t>
  </si>
  <si>
    <t>…he recibido, logran de la mayor tranquilidad. „ Dios guarde á V. E. muchos años. Cuartel general de Oaxaca Abril 3 de 18 i 8'. = Excmo. Sr. =: Melchor Alvarez. = Excmo. Sr» virey D. Juan Ruiz de Apodaca.” ZITACUARO. Oficio del coronel y comandante D. Pió María Ruiz. ,,Excmo. Sr.: En esta demarcación de mi mando no ha ocurrido otra cosa en la semána anterior , que haber recorrido una partida del destacamento de Tu~ santla el pueblo de Tiquicheo y estancia de…</t>
  </si>
  <si>
    <t>1239</t>
  </si>
  <si>
    <t>…y que se restablezca el buen orden y tranquilidad pública. ,,Dios guarde á V. E. muchos años. Toluca y Junio 5 de 1818.= Exce lentísimo Sr. = Nicolás Gutiérrez. = Excmo. Sr. virey D. Juan Ruiz de Apodaca.” Parte del -comandante de Zacualpan. viva el rey. ,, Excmo. Sr.: Acabo de saber por oficio del comandante itiilit¡r de Teloloapan la toma del fuerte de Zacatula, con escarmiento de gus defensores, por el coronel D. Josef Gabriel de Armijo, comandante general…</t>
  </si>
  <si>
    <t>…punto donde me halle por las atenciones del servicio. ,,Dios guarde á V. E. muchos años. Irapuato Abril 30 de r818. = Exce lentísimo Sr. = Antonio de Linares. = Exento. Sr. virey D. Juan Ruiz de Apodaca.” Parte del coronel D. Anastasio Bustamante. ,,Ayer á las tres de la tarde ine ha atacado en el rancho de los Frijoles el P. Torres con una reunión de 1400 hombres, según confesión de 20 prisione ros que tenemos en nuestro poder, á los cuales derroté y perseg…</t>
  </si>
  <si>
    <t>…; y en mi próxima cor rerla las activaré para su logro. ,, Dios guarde á V- E. muchos años. Real de Temascaltepec Abril 24 de 1818. Excmo. Sr. = Miguel Torres. == Excmo. Sr. virey D. Juan Ruiz de Apodaca.” Parte del capitán D. Juan Díaz. ,,Desde el dia 6 del corriente en que vmd. se separó de este punto deján dome encargado de él, como igualmente de que concluyese su fortificación, y persiguiese con continuas correrías las pequeñas partidas de rebeldes hasta…</t>
  </si>
  <si>
    <t>…sección en tan penosa, dilatada y arriesgada empresa. ,, Dios guarde á V. E. muchos años. Estancia Nueva Mayo 31 de i8t8.= Excmo. Sr.= Josef Gabriel de Armijo. = Excmo. Sr. virey D. Juan Ruiz de Apodaca.” Madrid itf de Diciembre. ARTICULO DE OFICIO. El limo. Sr. director general en comisión del Crédito público, deseando que los tenedores de vales Reales comunes de la creación de Enero puedan</t>
  </si>
  <si>
    <t>…oridad en cumplimiento de lo que en esta materia me tiene prevenido. ,,Dios guarde á V. E. muchos años. Xalapa Junio 19 de 1818. Excmo. Sr. = Ciríaco de Llano. == Excmo. Sr. virey D. Juan Ruiz de Apodaca.” ' ZACATECAS. Oficio del brigadier y comandante geney al D. Josef de Gay angas. ,, Excmo. Sr.: Por los partes que he recibido de fos comandantes milita res de esta provincia de mi cargo resulta que en toda la semana próxima an terior no ha ocurrido en toda e…</t>
  </si>
  <si>
    <t>…ante con sus realistas , todo ha sido fuera de este distrito. ,,Dios guarde á V. E. muchos años. Chalco Abril 24 de 1818. = Excelen tísimo Sr. = Bernardo López. = Excmo. Sr. virey D. Juan Ruiz de Apodaca.” 2.0 ,,Excmo. Sr.: Dirijo á las superiores manos de V. E. los partes de los puntos militares de esta demarcación, observándose en ellos no haDer ocurrido novedad alguna. ,,Dios guarde á V. E. muchos años. Chalco i.° de Mayo de 1818. = Exce lentísimo Sr. = Be…</t>
  </si>
  <si>
    <t>…de 21 de M^rzo último relativa á este particular. „ Dios guarde á V.. E, muchos años. Quetetaro Junio 24 de 1818.= Excmo. Sr. == Francisco de, Guizarnótegul. =, Excmo.' Sr.’ virey D. Juan Ruiz de Apodaca.” , IXTL4HUACA. Oficio, del coronel y comandante general Z&gt;. Pío fijaría Ruiz. ,,Excmo. Sr.: En la semapa anterior no ha ocurrido novedad alguna en esta demarcación y la de Temascaltepec, que están á mi cargo, según los partes que de todos los puntos se me ha…</t>
  </si>
  <si>
    <t>Apodaca, Juan Ruiz do</t>
  </si>
  <si>
    <t>Juan Ruiz do Apodaca</t>
  </si>
  <si>
    <t>…ertidumbre que tenga dé su paradero obraré de acuerdo con él. ,, Dios guarde á V. E. muchos años. Tezcüco Octubre 7 de 1817.3 Excmoi Sr.=c Antonio de Elias Saenz, Excmo. Sr. virey-D. Juan Ruiz do Apodaca.” i</t>
  </si>
  <si>
    <t>Apodaca, Juan Ruizde</t>
  </si>
  <si>
    <t>Juan Ruizde Apodaca</t>
  </si>
  <si>
    <t>…os reos de muchos delitos en aquellas inmediaciones.. i ,, Dios guárdela V. E. muchos años» Valle de Santiago Enero 31 de 1818. =Exc|iio. §rf= Pascual de Líñan. = Excmo. Sr. virey D. Juan Ruizde Apodaca.” . ¡ Parte del teniente coronel D. Josef Cristóbal Villaseñor. , ,,En cumplimiento de la órden que me comunicó el coronel D. Francis co de ¡Orran tíar salí anoche de este campo con 300 caballos, compuestos de los cuerpos de Frontera ; Provindss , dragones de…</t>
  </si>
  <si>
    <t>Apodaca, Juan Rulz de</t>
  </si>
  <si>
    <t>Juan Rulz de Apodaca</t>
  </si>
  <si>
    <t>Excmo. Sr.es Antonio de Larragoiti.s: Excmo. Sr. vírey D. Juan Rulz de Apodaca.” Parte del capitán D. Josef María Soria. „A la tina de la mañana del 23 del corriente salí de esta plaza y como vmd. me previno en su oficio de 22 del mismo, llevando á mis órdenes 30 infantes de Celaya y realistas de esta ciudad, al mando del teniente D. Fr…</t>
  </si>
  <si>
    <t>Apodaca, Juan Ruña de</t>
  </si>
  <si>
    <t>Juan Ruña de Apodaca</t>
  </si>
  <si>
    <t>…puntos subalternos de la demar cación de mi cargo. Dios guarde á V. E. muchos años. Pachuca Noviembre 2 de 1817.=» Excmo. Sr. as Francisco- de Paula Viilaldea. = Excmo. Sr. virey D. Juan Ruña de Apodaca.” Eguáras &gt; valle de Atez r partido de Pamplona y 2 de Marzo* El dia iz de Noviembre próximo pasado se celebraron aquí los eximen</t>
  </si>
  <si>
    <t>Apodaca-, Juan Ruiz de</t>
  </si>
  <si>
    <t>Juan Ruiz de Apodaca-</t>
  </si>
  <si>
    <t>Donativo, suscripción o relación nominal</t>
  </si>
  <si>
    <t>…idió á acompañarme , y manifestó mucho valor en la acción. „ Dios guarde á V. E. muchos años. Ocuila Octubre 17 de 1&amp;17.^Exc edentísimo Sr.= Nicolás Gutiérrez. = Exento. Sr. virey D. Juan Ruiz de Apodaca-” Lista de las armas , caballos y efectos tomadas en la acción que refiere ■ el parte anterior. , Diez carabinas buenas,, y como 2 cajones de municiones 5 machetes, 3* espadas , 1 mache tito de dos tercias ,16 caballos ensillados y enfrenados, 3 sillas de mont…</t>
  </si>
  <si>
    <t>Apodaca.’, Juan Ruiz de</t>
  </si>
  <si>
    <t>Juan Ruiz de Apodaca.’</t>
  </si>
  <si>
    <t>…os malvados que tantos daños han causado á este reino.- b - , : ,, Dios guarde á V. E. muchos años. Toluca y Noviembre 5 de 1817. ==, Excmo. Sr.=Nicolas Gutierrez,=Excmo. Sr.virey D. Juan Ruiz de Apodaca.’* Toledo i,° de Abril. { t-k- o ... ¡ _ El limo, ayuntamiento de esta imperial ciudad, deseando dar una;prue-* ba nada equívoca á sus acreedores censualistas de fprópios y arbitrios de ios* buenos deseos que le animan para que se les paguen los réditos del año…</t>
  </si>
  <si>
    <t>1040</t>
  </si>
  <si>
    <t>…zco infinito de que se vean efectuados sus benéficos anhelos. ,,Dios guarde á V. E. muchos años. Toluca Marzo 11 de 1818. = Exce lentísimo Sr.=Nicolas Gutiérrez. =Excmo. Sr. virey D. Juan Ruiz de Apodaca.’* Barcelona &amp; de Octubre. J ' La Real junta de gobierno del comercio de esta ciudad, atenta siempre á promover la ilustración pública, y á todo cuanto puede contribuir al fomentó de la riqueza nacional, según su instituto acordó celebrar exámenes de la ciencia…</t>
  </si>
  <si>
    <t>…rticu lar que la muerte de un rebelde y aprehensión de otros cuatro. ,,Dios guarde á V. E. muchos años. Maravatio Mayo 28 de 1818.= Éxcmó. Sr. = Pio María Ruiz. = Excmo. Sr. virey D. Juan Ruiz de Apodaca.’* ZACUALPAN. Oficio del teniente coronel y comandante JD. Mateo Quilty. „ Excmo. Sr.: No ha ocurrido novedad en el territorio y sección de mi cargo digna de comunicarse á V. E.</t>
  </si>
  <si>
    <t>…co á V. E. en cumplimiento de lo mandado por su superioridad. ,,Dios 'guarde áV. E, muchos años. Toluca Mayo^o de 1818. = Excelen tísimo Sr. =Nicolás Gutierre#. = Excmo. Sr. virey D. Juan Ruiz de Apodaca.’* TEZCUCO. Oficio del teniente coronel y comandante D. Antonio de Elias Saenz. ,,Excmo. Sr.: Este territorio sigue en la mayor tranquilidad: por ella el labrador se esfuerza en hacer reproducir los campos que había abandonado, según se impondrá V. E. por los p…</t>
  </si>
  <si>
    <t>…es que encontró solos, mani festando ser abrigo de los bandidos. ,,Dios guarde á V. E. muchos años. Zitacuaro Abril 22 de i8i8.=Excelentísimo Sr.=rPio María Ruiz.=Excmo. Sr. virey D. Juan Ruiz de Apodaca.’* Idem 6 de Junio. Joma de la fortificación de Z.acatula, confines del distrito de Acápide o3 donde se habían reunido los rebeldes dispersos de aquel rumbo y de Tierra caliente. El Excmo. Sr. virey acaba de recibir los partes siguientes, de que ha man dado ins…</t>
  </si>
  <si>
    <t>Apodaca.’, Juan Ruizde</t>
  </si>
  <si>
    <t>Juan Ruizde Apodaca.’</t>
  </si>
  <si>
    <t>Gaceta de Madrid n.º 38</t>
  </si>
  <si>
    <t>…lósMonarcas. -¿ui- :.Á r--« -A&gt; ■■■ ■! r. ■■ y : „ Dios guárdela 'NF. E.i mochos años. Pachaca 6 de Noviembre de 1817* = Excmo. Sr. = Francisco dePaulaVillaldea.=Excmo. Sr. virey D. Juan Ruizde Apodaca.’* &gt; r -L .:i) .■/ -. L ; ir, tl,ANCS 3&gt;E AFAN. . . £). Manuel de la Concha. t- ¿ ^:Excwo. Sr.4 A las crnco. de la «tarde:del dia j-.°c del corriente recibí en este punto la gaceta extraordinaria que V. E. se sirvió remitirme referente* 4 larprisibo:de;:Mma..n7…</t>
  </si>
  <si>
    <t>Apodacaf, Juan Ruiz de</t>
  </si>
  <si>
    <t>Juan Ruiz de Apodacaf</t>
  </si>
  <si>
    <t>…ntos, y elevo á. la superioridad de V. E. para su debido conocimiento. „Dios guarde á V. E. muchos años.. Jalapa Mayo 13 de i8i8.=Excmo. Sr.= Ciríaco de Llano. = Excmo.; Sr. virey D. Juan Ruiz de Apodacaf* Partes del teniente coronel D. Ignacio Amor. 1° ,,A las. dos de la tarde de hoy regresó el teniente coronel D. Gregorio .Carrizo del Puente del Rey , adonde había marchado ayer , trayendo las mu niciones de boca y guerra que iba á buscar , sin haber tenido n…</t>
  </si>
  <si>
    <t>Apoíonio</t>
  </si>
  <si>
    <t>…rez, Josef Máximo Jacinto , Gerónimo Jacinto, Agus tín Jacinto, Josef Martínez, Josef Román, Josef Hilario. Perez, Francisco Mendoza y Desiderio Barros. De caballería. El titulado capitán Apoíonio de los Santos. Soldados: Rafael Pastrana, Cirilo Ferral, Leandro Ferral, Fran cisco Alejandro, Mariano Santos, Silvestre dé los Reyes, Nicolás Zapata, Gregorio Martínez, Manuel Vargas, Anastasio :de la O , Mariano Hernández, Rufino Jacinto, Josef Apolinario,…</t>
  </si>
  <si>
    <t>Ar</t>
  </si>
  <si>
    <t>41</t>
  </si>
  <si>
    <t>…on un zelo extraordinario. Asimismo hace el comandante los mayores elogios de la constancia he roica de la tropa. Razón de los muertos, heridos y contusos que tuvo la división del Sr. Ar miñan en la acción de Peotillos. Regimiento de Extremadura: muertos 8 soldados: heridos i capitán, i teniente, I sargento y io soldados: contusos 3 soldados. Primero Americano: muertos i subteniente, i tambor y 8 soldados: heridos i capitau, i tenien te, i su…</t>
  </si>
  <si>
    <t>Ar, Manuel</t>
  </si>
  <si>
    <t>Manuel Ar</t>
  </si>
  <si>
    <t>Gaceta de Madrid n.º 69</t>
  </si>
  <si>
    <t>…a y laurel enlazados Premio de Ja aplicación. En el mismo acto dél repartimiento ¿de apremios ofreció uno de los con currentes vestrrásu costa á cuatro minos de los mas ¡pobres; y D. Manuel Ar*rújo cedió y endosó dos ^vales üe u 5,0 pesos á favor -de dos sobrinos que acababan ¿deeserexaminados.</t>
  </si>
  <si>
    <t>Aragón, Manuel de</t>
  </si>
  <si>
    <t>Manuel de Aragón</t>
  </si>
  <si>
    <t>…del banco nacional de S. Carlos, en el secuestro de D. Francisco Angulo; y sobre el pago de sus intere ses se promovió expediente en el. juzgado de provincia en el año de 1800 por D. Manuel de Aragón, vecino de esta corte, y el marques de la Paz, en cuyos autos, con vista dejo pedido por el señor fiscal por providencia de 20 de este mes, ha acordado el Consejo se cite por medio del diario y gaceta á los que se crean intere sados en las referidas acciones,…</t>
  </si>
  <si>
    <t>Aragonés, Diego</t>
  </si>
  <si>
    <t>Diego Aragonés</t>
  </si>
  <si>
    <t>…todo el frente: á la derecha de:Navarra el primer escuadrón-de húsares de-Fer^ nando vi i compuesto de, í oo plazas, á Jas ordenes del teniente coronel sargen* to mayor del mismo D. Diego Aragonés, y ioo lanceros del país á las del capi tán D. Ramón García: aja izquierda de Castilla el segundo escuadrón de hú-* sares, conf ¡n, misma fiieyza que el: primero, á las del teniente coronel coman—: dante D. Juan Juez. Las voces de viva el Rey, el armonioso es…</t>
  </si>
  <si>
    <t>…frente del suyo con la sereni dad que le es propia ; al comandante de escuadrón de húsares D. -Juan Juez, que con el suyo rechazó y batió ai enemigo ; al sargento mayor del mismo D. Diego Aragonés, que dio la carga con tan buen éxito á la caballería que tenía á su frente, que con ella aterró á la infantería por ser á su vista; al ca pitán de lanceros del país D. Ramón García, qué dirigió aquellos con valor;5 al capitán de cazadores de Castilla D. Josef…</t>
  </si>
  <si>
    <t>Aramburu, Juan Angel de</t>
  </si>
  <si>
    <t>Juan Angel de Aramburu</t>
  </si>
  <si>
    <t>Gaceta de Madrid n.º 68</t>
  </si>
  <si>
    <t>…dé está muy Heroica villa, refrenda da del escribano del número D. Tomas María Manrique, se cita, llama y enaplaza por término de 30 días, contados desde el de esta publicación, á D. Juan Angel de Aramburu, á los Sres&lt; Rully y Coll, y á D. Ramón Vidal y Marti, últimos te nedores de tres vales Reales, uno de 150 pesos de Enero de 1808, núm. 2397785, y los otros dos de 300 pesos de Mayo de 1808, núms. 435473 y 452215, los que se hallan retenidos por reclamación d…</t>
  </si>
  <si>
    <t>…sta muy heroica villa, refrendadá del escribano del número D. Tomas María Manrique, se cita, llama y emplaza por término de 15 días, Contados desde el en que salga en la gaceta, á D. Juan Angel de Aramburu, á loá Señores Rulli y Coll, y á D. Ramón Vidal y Marti y D. Pedro Martin de Triarte; últimos tenedores de cuatro vales Reales , dos de 150 pesos de Enero de 1808, números 239778 y 304401 ; y los otros dos de 300 pesos de Mayo de 1808 , nú meros 435473 y 4522…</t>
  </si>
  <si>
    <t>Aran, Manuel López</t>
  </si>
  <si>
    <t>Manuel López Aran</t>
  </si>
  <si>
    <t>…e S.-Fernando y S. Hermenegildo; D. Baltasar Hidalgo de Cisneros, del de Marina, y pon Josef de Imáz, interino del de Hacienda ; los consejeros de Estado marques ,de las Hormazas; D. Manuel López Aran jo, caballero gr^an cruz de ja Real distinguida orden de Carlos iii ; el duque de S. Fernando, caballero gran cru^ de la misma, y presidente del Consejo Real de la? Ordenes ^ el «juque deV^f ragua , presidente del supremo Consejo de Hacienda, grap cruz, de la…</t>
  </si>
  <si>
    <t>Arana, Eugenio</t>
  </si>
  <si>
    <t>Eugenio Arana</t>
  </si>
  <si>
    <t>…rado de la ciudad de Giiiria y de toda la costa con grande pérdida del enemigo; no pudiendo menos de recomendar á V. E. á este valeroso oficial, asi como al comandante de batallón D. Eugenio Arana, que tantas y tan repetidas pruebas dan diariamente de su denuedo y entu siasmo por defender la justa causa de nuestro amado Soberano. „Dios guarde áV. E. muchos años. Cuartel general de la Guaira 13 de Setiembre de i8i7. = Excmo. Sr. = Pablo Morillo. =Excnao…</t>
  </si>
  <si>
    <t>…por plaza, pues ios. que traía de reserva se habian mojado; con los; continuos aguaceros y ríos que habíamos pasado, á nado, tomé pa recer del comandante del batallón de la Reina D. Eugenio Arana , y tantoeste gefejco^np.yp fuimos de opiníon de atacar á los, enemigos: efectivamente emprendimos la marcha al amanecer del dia 27, y no encontramos en.el ca mino rebelde alguno hasta ponernos bajo, el tiro de canon de sus fuertes , los que hice reconocer po…</t>
  </si>
  <si>
    <t>Araná, Gregorio</t>
  </si>
  <si>
    <t>Gregorio Araná</t>
  </si>
  <si>
    <t>…cogen éri aquellos pai-; ses y alteran el orden y tranquilidad pública. Para poder verificar este intento con mas acierto, acordé:en dicho pueblo con el teniente coronel dé Zamora D. Gregorio Araná, comandante de otra sección, los movimientos qúe se de bían egecutar para venir á las manos con los insurgentes, que tanto yo como los individuos que componen esta sección que tengo el honor de mandar ape-; tecian con ansia. :-;j ■ - 1 y ; ' - : ,, No obstant…</t>
  </si>
  <si>
    <t>Arana, Gregorio de</t>
  </si>
  <si>
    <t>Gregorio de Arana</t>
  </si>
  <si>
    <t>1204</t>
  </si>
  <si>
    <t>…ito. Han sido sus padrinos los sugetos mas dis tinguidos de Pest. ESPAÑA. / México 1° de Mayo. Continuación de los partes de 'Nueva-Espan a* SAN LUIS POTOSI. '' Parte del teniente coronel D. Gregorio de Arana al comandante general brigadier D. Mamiel María de Torres Valdivia. ' ,,Ccmo manifesté á V. S. en mi oficio num. 4 de i.° del corriente salí de este punto el di a' siguiente cón dirección á la hácienda dé lar Quemada con 159 infantes é igual número de caballe…</t>
  </si>
  <si>
    <t>Arancibia, Josef María</t>
  </si>
  <si>
    <t>Josef María Arancibia</t>
  </si>
  <si>
    <t>…o de 22 del mismo, llevando á mis órdenes 30 infantes de Celaya y realistas de esta ciudad, al mando del teniente D. Fran cisco Qainta ni lia, 18 realistas de caballería á las del capitán D. Josef María Arancibia, 10 dragones del Príncipe, y 14 realistas de Panales á las del te niente 0. Pedro García, y 26 realistas de S. Josef a las del teniente D. Va lentín Vera, con el objeto de que persiguiese á los rebeldes que habitan en hacienda &lt;le lo de Pena, cañada de Tirado…</t>
  </si>
  <si>
    <t>Arango'se, Francisco de</t>
  </si>
  <si>
    <t>Francisco de Arango'se</t>
  </si>
  <si>
    <t>499</t>
  </si>
  <si>
    <t>…n que tuviese la menor novedad en su impor. tante salud. Madrid iS de Mayo. ARTICULO DE OFICIO. ' En consideración á los distinguidos servicios del consejero del supremo de Indias D. Francisco de Arango'se ha dignado S. M. concederle cruz pensio nada en la Real y distinguida orden española de Carlos m. Por Real resolucion de 4 del presente mes, á consulta del Conseja su' premo de la Guerra, se ha servido S. M. conceder á D. Facundo puado, practicante segundo de…</t>
  </si>
  <si>
    <t>Arango, Alejandro María</t>
  </si>
  <si>
    <t>Alejandro María Arango</t>
  </si>
  <si>
    <t>…Los tenientes coroneles D. Juan Rafols y D. Francisco de las Piedras: los capitanes D. Facundo Melgares, D. Cristóbal Villaseñor y D. Eusebio Moreno: el teniente coronel graduado D. Alejandro María Arango; y mis ayudantes de campo el capitán graduado D. Juan Basave, el alférez de na vio de la Real armada D. Juan Sanjurjo Montenegro, y el primer ayudante del Real cuerpo de cirugía D. Felipe Martínez, que atendió á su obligación con un zelo extraordinario. Asimi…</t>
  </si>
  <si>
    <t>Araujo, Luis de Mata y</t>
  </si>
  <si>
    <t>Luis de Mata y Araujo</t>
  </si>
  <si>
    <t>1¡2 Estos jóvenes, que no cuentan mas que nueve meses de enseñanza metódi ca bajo la dirección del citado catedrático, y siguiendo las gramáticas cas tellana y latina de D. Luis de Mata y Araujo, catedrático en Madrid de los caballeros pages de S. M., hicieron ver la utilidad de estudiar comparadas las dos lenguas castellana y latina, dando razón de los principios que les son comunes, y de las variaciones y anomalías propias de cada una , notándolas…</t>
  </si>
  <si>
    <t>285</t>
  </si>
  <si>
    <t>…ras con testaciones, que manifestaron la utilidad de la enseñanza por el método dé la excelente gramática del catedrático de latinidad y retórica de la Real casa de pages de S. M. D. Luis de Mata y Araujo. Después de esto el catedrático pro nunció un discurso, manifestando las razones que apoyaban el método de; enseñanza que ha adoptado; y habiéndose distribuido algunos premios á Jos mas sobresalientes, se concluyó el acto,, que presenció, todo el numeroso con…</t>
  </si>
  <si>
    <t>…mensuales y 15 los forasteros, la oposición se verificará á los 30 dias de esta publicación, siendo preferido en igualdad de circuns tancias el que haya enseñado por el método de D. Luis de Mata y Araujo, catedráti co de los caballeros pages de S. M., que es el que se ha seguido en dicha villa con in-</t>
  </si>
  <si>
    <t>…de las Carretas. Elementos de retórica y poética, extractados de los autores de mejor nota, dis puestas ai alcance de los niños que, estudian gramática, y en forma de diálogo, por D. Luis de Mata y Araujo, catedrático de latinidad, retórica y poética de los caba lleros pages de S. M. Se hallarán en las librerías,de Sanz, calle de las Carretas, y de Ranz, calle de la.Cruz; en Sevilla^en la de Reselló; en Granada en,1a de Aguila^ y en VaUadplid en casa .del cate…</t>
  </si>
  <si>
    <t>Araüjo, Manuel López</t>
  </si>
  <si>
    <t>Manuel López Araüjo</t>
  </si>
  <si>
    <t>43 * Los individuos que.' componían dicha comisión fueron los Excmos. Sres. Don Manuel López Araüjo, consejero de Estado, y D. Miguel Gayoso d&amp; Mendo za , señor de Ruvianes, grande de España de primera clase, el M. Iltre. Señor abad de S. Isidro de León D. Fr. Teobaldo Rodríguez Gallego, el lectoral de la metropolitana iglesia del apóstol Santiago D.,Andrés…</t>
  </si>
  <si>
    <t>Arbide, Manuel</t>
  </si>
  <si>
    <t>Manuel Arbide</t>
  </si>
  <si>
    <t>…el segundo á Josef Martínez. En la clase de rudimentos de latinidad gano el primer premio D. Josef Gorraiz, y el segundo D. Angel Isturiz; habiendo sido meritorios D. Josef Nuin, D. Manuel Arbide, D. Félix Ii*iarte y D. Cesáreo Sanz López. En la clase de sintaxis se adjudico el primer premio á D Eugenio Subi za; y el segundo áD. Antonio Iribertegui, siendo meritorios D. Carlos Zua^ ti, D. Benito Ojer y D. Domingo Ramírez. En la clase superior de latin…</t>
  </si>
  <si>
    <t>Arbízú, Manuel Josef de</t>
  </si>
  <si>
    <t>Manuel Josef de Arbízú</t>
  </si>
  <si>
    <t>…rector dé ellos D. Joan Amatrialn , que residirá en Peñaranda de.Duero'hasta gúé llegue la época de usar .de aqpeflas aguas. ;\*V.’ ni-' '• «&gt; rt í í ¿ j. i Por ét juzgado del Sri D. Manuel Josef de Arbízú , def Cónséjo de Sr. M., áTcalde- én su Real Casa y .Corte, y escribanía dfe ptóviii&gt;cía'‘tie'!p|!,i Garlos Rodríguezde Moya ,se halla radicada la testamentaría de D. Pedro Antonio- Bazo Ibjmez,».‘ve cino que fue de esta villa, y procurador de los RealeslCons…</t>
  </si>
  <si>
    <t>Arbizu, Manuel Josef de</t>
  </si>
  <si>
    <t>Manuel Josef de Arbizu</t>
  </si>
  <si>
    <t>…s últimamente en D. Melchor García, para que en dicho término , que peren? todamente se ha señalado, comparezcan por sí ó por medio de apoderado autorizado en debida forma ante el Sr. D. Manuel Josef de Arbizu, del Consejo de S. alcalde de la Real Casa y Corte, por la escribanía de provincia que despacha por ha^ bilitacion D. Francisco Montoya, í decir y alegar de su derecho en razón de la legí tima pertenencia de dichos vales; con apercibimiento que pasado el térm…</t>
  </si>
  <si>
    <t>…convenga; con apercibimiento que pasa-j do dicho término sin verificarlo , se les dará el curso que corresponda, y les parará el perjuicio que haya lugar. . Por el juzgado del Sr, D. Manuel Josef de Arbizu, y escribanía de provincia que despacha por habilitación D. Francisco Montoya, .se está subastando para pagó dé acreedores una casa, sita en la calle de Atocha, accesoria á la de S. Ildefonso de está corte, señalada con el niun. 4, de la manz. 4, comprensiva…</t>
  </si>
  <si>
    <t>Gaceta de Madrid n.º 144</t>
  </si>
  <si>
    <t>…desde el dia dé este anunció,' para que lo verifiquen; ¿n el concepto de que pasado dicho término sin pre sentarlos les parará el perjuicio que haya lugar. Por providénciá del Sr D. Manuel Josef de Arbizu, del Consejo de S. M., al calde en su Real Casa y Corte, confirmada por los señores del Consejo, se mandar llevar á efecto la subasta de una casa sita en la calle ancha de Peligros de esta corte, riiim. 17 de la manz. 265 , tasada en 181 220 rs. La persona qu…</t>
  </si>
  <si>
    <t>Arderius, Josef Sierra y</t>
  </si>
  <si>
    <t>Josef Sierra y Arderius</t>
  </si>
  <si>
    <t>eí primero, y la arenga que hizo,arde süs'Concolegas él seminarista D. Josef Sierra y Arderius con un despejo _y gracia poco comunes en los de su tierna edad. Tuvieron asimismo SS. MM la bondad1 de^escuchar con igual compla cencia algunas tte las^ce*npo^ieioíiés q^el tan.tOMhabií|?íf co^niplaeido atl publico en la palestra. De este inod^ Iasrcescuélas;…</t>
  </si>
  <si>
    <t>Arduénco, Manuel Gorrino y</t>
  </si>
  <si>
    <t>Manuel Gorrino y Arduénco</t>
  </si>
  <si>
    <t>Gaceta de Madrid n.º 159</t>
  </si>
  <si>
    <t>…librería de Paz,.frente á las gradas de S. Felipe eÍReaL' ^ . . : • - Los sepulcros de Heryey: obra escrita en ingles-, traducida al francés , y de este al castellano por el Dr.' D. Manuel Gorrino y Arduénco!, 'segunda’ edición: cuando se publicór$ú 'prtmérá*'edición francesa ya se había héchb éri sií prhner idiotiia , y des pués se háíi repetido otras 15 en ambos. Esto parece que es bastante recomendación; y riirtgüno sentirá haberla leído: un tomito en 8.°, sú…</t>
  </si>
  <si>
    <t>Arechávala</t>
  </si>
  <si>
    <t>…aber permanecido recorriendo la espesura de los montes que median entre el volcan de Ameca y Riofrio, regresé en la tarde de ayer por Tlalmanalco y Chalco , en que se me reunió el capitán Arechávala, con el sentimiento de que esos asesinos, segnn las noticias que adquirí, se hablan fugado para los bosques de Milpaalta, en que tienen su radical abrigo, y de que iban en su seguimiento varias partidas de diversos puntos de aquel rumbo. Lo que participo á vm…</t>
  </si>
  <si>
    <t>Arechávala, Hemeterio</t>
  </si>
  <si>
    <t>Hemeterio Arechávala</t>
  </si>
  <si>
    <t>…„En la tarde del 29 del próximo pasado Setiembre salí de este destaca* mentó, conforme á las órdenes de vmd., con una partida de 40 realistas y otra de 30 , que puse al cargo del capitán D. Hemeterio Arechávala, por si acaso, ya que en este territorio no hay siquiera un rebelde á quien perseguir, conse guía verificarlo con Juan Colín y Germán Reyes, que con otros 5 facinero sos se decía hallarse en los montes de Ameca, por si lograba el total exter minio de estos ba…</t>
  </si>
  <si>
    <t>Arenaxa, Juan</t>
  </si>
  <si>
    <t>Juan Arenaxa</t>
  </si>
  <si>
    <t>Gaceta de Madrid n.º 123</t>
  </si>
  <si>
    <t>I034 , pul os, también por doctrinará D. Tomás Bueno por leer; á D. Juan Arenaxa por escribir; á D. Pablo de Argote por aritmética; á D. Julián Gamarra por ortografía y gramática castellana; á D. Venancio de $agarnaga y Don Faustino ae Ampuaia por buena conducta; á D. Josef de Puente en la clase de menores y demas rudimentos; á D. Juan Gu…</t>
  </si>
  <si>
    <t>Arenzana, Paula Feliciana de</t>
  </si>
  <si>
    <t>Paula Feliciana de Arenzana</t>
  </si>
  <si>
    <t>…evención que no verificándolo les parará el perjuicio que ha ya lugar. Para la junta de acreedores de los bienes que pertenecían á las testamentarías de X). Pedro López Martínez y Doña Paula Feliciana de Arenzana, su muger, ha se ñalado el-Sr. Q. Manuel Josef Rubio, del Consejo de S. M., teniente corregidor de esta muy heroica villa, el dia 18 del corriente á las hueve de su mañana en su posa da , ló que se hace saber á dichos acreedores para que concurran por sí ó pe…</t>
  </si>
  <si>
    <t>Arévalo</t>
  </si>
  <si>
    <t>…, y que todos iban á ser víctimas , salió protegido de la oscuridad . rompió valerosamente el cerco que le tenían hecho, y salvó la guarnición, que antes no había podido librar el capitán Arévalo, á pesar de los esfuerzos que hizo luego que volvió de la Esmeralda por el cortísimo número de soldados que le acompañaban. .,E1 teniente coronel de milicias, alcalde de primer voto de esta ciudad, f</t>
  </si>
  <si>
    <t>Arévalo, Juan Vicente</t>
  </si>
  <si>
    <t>Juan Vicente Arévalo</t>
  </si>
  <si>
    <t>do Muro 6 , D. Josef Lgnacio Casas 8, Doña María Josefa Blanco y herma-, na 2 , D. Juan Vicente Arévalo 2 , D. Sebastian Fernandez de León 6, Don Pedro Bahamonde 4, D. Siiverio Galarraga 2, D. Fermín Castillo Beitia y hermanos 4 , D. Ignacio Diaz 2, Doña Josefa Solórzano 1, el presbítero Dorr Josef Gregorio Avila 1, D. Josef Navas 2, Sra. marquesa de Casa León…</t>
  </si>
  <si>
    <t>Arévalo, Ramón</t>
  </si>
  <si>
    <t>Ramón Arévalo</t>
  </si>
  <si>
    <t>…con un cuerpo de 700 á 800 hombres, cuya pequeña guarnición, que escasamente llegaría á 100 soldados, se había desmembrado de una mitad con su comandante el capitán de caballería Don Ramón Arévalo para pasar á la Esmeralda, donde 4 flecheras de Margarita, procedentes de Guayana, amenazaban un desembarco. „ Marino llegó en este tiempo á Cariaco, y encerró la guarnición dentro de la casa-fuerte, que anteriormente los rebeldes habían construido en la igle…</t>
  </si>
  <si>
    <t>Aréválo, Ramón</t>
  </si>
  <si>
    <t>Ramón Aréválo</t>
  </si>
  <si>
    <t>Gaceta de Madrid n.º 103</t>
  </si>
  <si>
    <t>874</t>
  </si>
  <si>
    <t>…ldivieso, y del padre capellán D. Mariano Perez, por la particular que me hace de estos dos últimos el referido Ximenez. Con motivo ael opor tuno arribo á esta plaza del expresado D. Ramón Aréválo, le he destinado á encargarse del mando de Cariaco, como lo estaba antes que sus males le hubie ran obligado á separarse de él; y me prometo que teniendo aquel partido un oficial tan acreditado como este, no volverán á hacer los enemigos otra tenta tiva en él…</t>
  </si>
  <si>
    <t>Arévalp, Mateó</t>
  </si>
  <si>
    <t>Mateó Arévalp</t>
  </si>
  <si>
    <t>Gaceta de Madrid n.º 71</t>
  </si>
  <si>
    <t>…n atención al amor y lealtad que ha acreditado tener á su Real Persona y á la augusta ca-* sa de los Borbonesv : : *&gt;'■ ; ^ ' En átenciqñ á los méritos , servicios y literatura de D. Mateó Arévalp, y, i^émargp , se j&amp;a^servido S. M. conferirle el empleó de auditor de Marina de la provincia de Segura de la Sierra. El Rey nuestro Señor se ha dignado admitir el donativo que ha hecho D. Pedro Castillo * canónigo doctoral de la santa iglesia de Daroca, de 4…</t>
  </si>
  <si>
    <t>Argensola, Bartolomé Leonardo de</t>
  </si>
  <si>
    <t>Bartolomé Leonardo de Argensola</t>
  </si>
  <si>
    <t>Diego de Saavedra Fajardo , y T&gt;. Alvaro Navía Osorio*. 7.0 D. Luís de Requesens, D. Bartolomé Leonardo de Argensola, D. Francisco Valles, D. Juan de Ribera, D. Juan de Palafox y Mendoza, y el Mtro. Fr. Luis Ponce de León: B.° D. Diego Mesía y Gueman , el Mtro. Juan de Avila, el P. Fr. Josef de Sígiienza, D. Diego Covarrubias y Leiva, Juan lírbina, y el P. Q. Tomas Vicente…</t>
  </si>
  <si>
    <t>Argona, Francisco</t>
  </si>
  <si>
    <t>Francisco Argona</t>
  </si>
  <si>
    <t>…es. Ademas de estos prisioneros se han co cido 120 mugeres que estaban con ellos. También hemos rescatado de los pri-, sioneros que cogieron en S. Fernando el teniente de Numancia D. Francisco Argona, los subtenientes del propio cuerpo D. Juan Antonio Galiani y Don Joaquín Villamil, y el de igual clase de Barinás D. Calixto Landaeta. Tam bién se Ies han cogido dos banderas, de las cuales una me presentó el soldado de lanceros del Rey Lucas Rojas; todo el…</t>
  </si>
  <si>
    <t>Argote, Pablo de</t>
  </si>
  <si>
    <t>Pablo de Argote</t>
  </si>
  <si>
    <t>I034 , pul os, también por doctrinará D. Tomás Bueno por leer; á D. Juan Arenaxa por escribir; á D. Pablo de Argote por aritmética; á D. Julián Gamarra por ortografía y gramática castellana; á D. Venancio de $agarnaga y Don Faustino ae Ampuaia por buena conducta; á D. Josef de Puente en la clase de menores y demas rudimentos; á D. Juan Guzman en la de medianos, y á Don Lib…</t>
  </si>
  <si>
    <t>Arguelles</t>
  </si>
  <si>
    <t>…e en marcha para efectuar la combinación con el señor Armiñan , que he manifestado á V. E., sobre Misantla -por el rumbo de Naulingo. ,,Habiéndose detenido en Jalapa el benemérito capitán Arguelles mas tiempo de lo que yo me prometía por causas que no pudo evitar, traté de que dos prisioneros rebeldes que tenia fuesen á conducir á los cabecillas de dichas gavillas unos exhortos , en que les prevenia se presentasen ál induíto,ó de lo contrario contasen c…</t>
  </si>
  <si>
    <t>Arguelles, Diego</t>
  </si>
  <si>
    <t>Diego Arguelles</t>
  </si>
  <si>
    <t>…a del regimiento de mi cargo, marchando cor ella én dos sec ciones por diferentes direcciones para perseguir y exterminar las gavillas de estos rumbos, entre tanto que mi ayudante capitán D. Diego Arguelles mar chaba con otra á Jalapa á buscar víveres con que ponerme en marcha para efectuar la combinación con el señor Armiñan , que he manifestado á V. E., sobre Misantla -por el rumbo de Naulingo. ,,Habiéndose detenido en Jalapa el benemérito capitán Arguelles ma…</t>
  </si>
  <si>
    <t>…tadas por V. E., y nacidas de las tareas continuadas de mis movimientos, sin embargo de hablarme bas tante enfermo , y de las acciones que han tenido el infatigable iití ayixlante capitán D. Diego Arguelles con Vergara en S. Carlos, y el teniente coronel Rincón en la Mesa del Rodeo, y yo en la pastoría de Colipa, en sus para petos y en los del rio de Misantla. „ Mañana al amanecer salgo para i^aulingo, á fin de efectuar por mi parte la combinación que he formado…</t>
  </si>
  <si>
    <t>Arias, Antonio Sandalio de</t>
  </si>
  <si>
    <t>Antonio Sandalio de Arias</t>
  </si>
  <si>
    <t>…rovechasen. El sábado 21 del corriente, á las cuatro de la tarde , se dará principio á la enseñanza pública de agricultura en el Real jardín botánico de esta corte, al cargo de su catedrático D. Antonio Sandalio de Arias, continuando los martes, jueves y sábados de cada semana á la misma hora. Los que quieran matricularse para ganar curso podrán hacerlo en dicho jardín desde el expre sado dia 21 hasta 15 de Marzo próximo. Para la enseñanza de esta ciencia se dará por texto la…</t>
  </si>
  <si>
    <t>Gaceta de Madrid n.º 43</t>
  </si>
  <si>
    <t>…nte de sus hereda des la mies segada; asi quedan cortados los perjuicios que se experimentaban en la cosecha por efecto de una caridad mal entendida. 6.° Siguiendo la doctrina que D. Antonio Sandalio de Arias propo ne en sus lecciones de agricultura, en cuanto á la siembra de granos por fajas, se hizo el experimentó en el mes de Noviembre del año de 1816, sembrando una fanega de tierra con 3 celemines de trigo, que han producido 4 fanegas*T y aunque la cosecha com…</t>
  </si>
  <si>
    <t>…premios de 50 rs. vn. el uno y de 20 el otro para los dos discí pulos mas adelantados en la caligrafía; otro de60 para el mas instruido en la cartilla de agricultura compuesta por D. Antonio Sandalio de Arias, de la que habia repartido la sociedad muchos égen^plares; y los tres restantes de á 40 para los mas instruidos en el catecismo de F'leuri, ortografía y gramática castellana y aritmética se repartieron á los jóvenes mas adelantados entre los muchos aspirantes…</t>
  </si>
  <si>
    <t>Arias, Saadalio de</t>
  </si>
  <si>
    <t>Saadalio de Arias</t>
  </si>
  <si>
    <t>…tado por el Dr. Bahi para exterminar dicho mal, publicado en las memorias de agricultura y artes de aquel prin cipado, ofrece premiar con las lecciones de agricultura escritas por D. Saadalio de Arias, y una medalla de oro,ó con 320 rs. vn. á elección de la per sona que acredite á satisfacción de la sociedad haber ensayado dicho método en mayor número de olivos; en la inteligencia de que en no pasando de $ o no se adjudicará. 4.0 Como por efecto del deplor…</t>
  </si>
  <si>
    <t>Arias, Sebastian Rodriguez de</t>
  </si>
  <si>
    <t>Sebastian Rodriguez de Arias</t>
  </si>
  <si>
    <t>…pañola la Catalina., navegan do desde Campeche á Nueva-Orleans; pero como su longitud está deducida por la estima, nos merece mas confianza el reconocimiento del teniente de navio D. Sebastian Rodriguez de Arias : no obstante los navegantes que hagan su derrota por este paralelo deben navegar con precaución por si acaso exis tiesen realmente estos dos bajos. otro. D. Manuel Bozo, piloto de la bombarda española Nuestra Señora del Carmen , navegando desde Veracruz y La…</t>
  </si>
  <si>
    <t>Ariasj, Sebastian Rodriguez de</t>
  </si>
  <si>
    <t>Sebastian Rodriguez de Ariasj</t>
  </si>
  <si>
    <t>…en las ocurrencias de Nueva-rEspaña. , « ; ■.; —- r-r ,r? -------------------- :---- -— --- r t: y -—H~:—r-t\ AVISO A LOS, KAVEGANTESp_. .. El teniente de navio de la Real armada D. Sebastian Rodriguez de Ariasj, comandante del bergantín Argos;, en su navegación de Veracruz á la Havana, á las 2 de la tarde del dia n de Julio de 1818 , hallándose en la latitud N. de 2 4o z\ y en la longitud de 83o 26' occidental de Cádiz, descubrió por el trar vés una reventazón, que…</t>
  </si>
  <si>
    <t>Arinco, Josef Gabriel de</t>
  </si>
  <si>
    <t>Josef Gabriel de Arinco</t>
  </si>
  <si>
    <t>…inmediatas órdenes han desempeñado siempre comi siones de esta naturaleza. ,,Dios guarde á V S. muchos años.Teloíoapan 20 deOctubre de 1817 — Jpan Isidro de Marron.=Sr. comandante general D. Josef Gabriel de Arinco.” Parte del capitán Z). Bernabé Villanueva. ,, En cumplimiento de la orden de vmd. que me comunicó en su oficio é instrucciones de 1 5 dél actual , me puse en marcha el mismo día á las cua tro de la tarde con 56 dragones de la segunda y quinta compañía del Po…</t>
  </si>
  <si>
    <t>Ariza, Juan de</t>
  </si>
  <si>
    <t>Juan de Ariza</t>
  </si>
  <si>
    <t>…de la misma D. Francisco de Copons y Navia el gobierno militar y político de la de Barcelona: Ja sargentía mayor de lá de v alencia de Alcántara ai teniente coronel de infantería D. Juan de Ariza: la primera ayudantía de Ceuta al capitán D. Miguel Ibañez, segun do ayudante de la misma plaza; y la segunda de la Coruña á D. Antonio I,opez, subteniente del regimiento dé infantería de Zamora. '-*• — ■»!'!'.« .................... ... mmm——m——^^—————i^ Cont…</t>
  </si>
  <si>
    <t>Arjona, Manuel María de</t>
  </si>
  <si>
    <t>Manuel María de Arjona</t>
  </si>
  <si>
    <t>…. j .* &lt;- ~ J Oración fúnebre que en honor de las víctimas del Dos de Mayo de 1808 pro nunció en el aniversario de i8t8 ante SS. MM. y AA. en la Real iglesia de S. Isi dro el Dr. D. Manuel María de Arjona, canónigo penitenciario de Córdoba, indi viduo de las Reales academias de la Historia y Latina matritense, de la Real socie dad económica-de esta corte &amp;c. Se hallará en la librería de Perez, cálle de las Carzetá?: su ¡precio 4, rs. : puede'iri en carta. 0 v…</t>
  </si>
  <si>
    <t>Armaña, Francisco</t>
  </si>
  <si>
    <t>Francisco Armaña</t>
  </si>
  <si>
    <t>…falleció, y tenia otorgado ante dicho infrascrito escribano en 19 de Noviembre de 18 id» y memoria que en él cita, dejó y se halla protocolizada ante el mismo. Sermones del limo. Sr. D. Francisco Armaña, obispo que fue de Lugo, y arzo bispo de Tarragona: 4 tomos en 4.0 Contienen desde el domingo i.u de Adviento hasta el de Ramos inclusive , diferentes tratados morales deducidos de los respecti vos evangelios; pero tan selectos, y trabajados con tal sabiduría…</t>
  </si>
  <si>
    <t>Armas, Juán de</t>
  </si>
  <si>
    <t>Juán de Armas</t>
  </si>
  <si>
    <t>…están libres de rebeldes desdé que fue ¡derrotado Mariñó por ‘Ximenéz, coronel del regimiento de- Clarines, .eL que há muerto» de resultas de una herida én la pierna ; su segundó D. Juán de Armas adolece aun de sus heridas. El general MoriUbyya casi del todo bueno de su herida^ se prepárá pa^*. ra1 continuar -la«campaña*”;¡ '&gt; •* \ v ■ f -•&gt; ¡1 Asimismo-con-referencia á uri p^rte del comandante D. Miguel de la Tor re 'dirigido al Exbmo./Sr. Di Pablo M…</t>
  </si>
  <si>
    <t>Armas, Juan de</t>
  </si>
  <si>
    <t>Juan de Armas</t>
  </si>
  <si>
    <t>…Cariaco, no puedo menos de reiterar á V. E. la re comendación que le hice el 17 del actual á favor del coronel D. Francisco Xi menez, y de su segundo el teniente coronel graduado D. Juan de Armas, su plicándole sea extensiva al subteniente de milicias de pardos de Campano Ja cinto Valdivieso, y del padre capellán D. Mariano Perez, por la particular que me hace de estos dos últimos el referido Ximenez. Con motivo ael opor tuno arribo á esta plaza del e…</t>
  </si>
  <si>
    <t>…en mano reunir mi gente, con cuya operación decidí la acción. La oficialidad y tropa ha peleado con el mayor valor; y debo en justicia recomendar el bri llante mérito del valiente D. Juan de Armas, que mandó con toda serenidad su división hasta el fin, como también el acreditado valor del subteniente de mi licias de pardos de Carupano Jacinto Valdivieso que alentaba la tropa, metién dose en el horroroso fuego que desde la iglesia, casas y calles hacían…</t>
  </si>
  <si>
    <t>Armendariz, Lázaro</t>
  </si>
  <si>
    <t>Lázaro Armendariz</t>
  </si>
  <si>
    <t>…graduado de teniente coronel D. Josef María No-' voa; tenientes D. Felipe Guillen y D. Mariano Miqueley; portas D. Benito Fernandez y D. Mariano Teran. De Nueva-Vizcaya: alféreces D. Lázaro Armendariz y D. Justo Escudero. De Sierragorda: capitán graduado de te niente coronel D. Cristóbal Villaseñor; teniente graduado de capitán D. Jo-, sef García Marín , teniente D. Manuel Ortiz , y graduados D. Pedro Ana ya, D. Luis de la Carrera y D. Ignacio Romero Pando; alféreces D. Apoli…</t>
  </si>
  <si>
    <t>Armenteros, Melchor</t>
  </si>
  <si>
    <t>Melchor Armenteros</t>
  </si>
  <si>
    <t>•Menocal, teniente D. Mantiél Ortfzyy los graduados D. Pedro María, Ana ya, D. Luis Carrera, D. Ignacio Romero Pando y *D. Manuel González , al féreces D. Melchor Armenteros, D. Apolinario Rodea y D. Miguel Rodrí guez. Dragones de S. Luis: teniente coronel graduado D. Anastasio Bustamante, capitán graduado D. Felipe Mendez, teniente D. Manuel Muñoz, al féreces D. Pedro de Legarreta y D. Feliciano Guerra, y cadete D. Nicolás Gutié…</t>
  </si>
  <si>
    <t>Armijo</t>
  </si>
  <si>
    <t>…s que los bandidos tejiian.. ti ranizadas y aniquiladas; y en prueba de su impoitancia , y del aprecio con que las ha recibido, ha mandado se den las gracias en nombre de S. M. al coronel Armijo , geícs , oficíale» y tropa de la sección por su esmero y bue nos ■ férvidos ^ esperando con ansia los pormenores de la acción y ei infor me dedos que-se hubieren distinguido en ella para premiarlos según su mérito. • r (1) E! que se insertó en la gaceta ante…</t>
  </si>
  <si>
    <t>…decidid© valor é infatigable desempeño; la compañía primera del regimiento de drago nes fieles dél Potosí;, cuyó debido.buen concepta es generalla. co¡mpañía* di cha del cargo del capitán Armijo por su valor y constancia, y la de realistas fieles de este pueblo por igual mérito; elevando á su superior-.conocimiento un estado que comprende el total de la fuerza y denominación de la oficialidad. „ Como V;. E., al prevenirme la protección de la partida…</t>
  </si>
  <si>
    <t>Armijo, Josef G-abriel de</t>
  </si>
  <si>
    <t>Josef G-abriel de Armijo</t>
  </si>
  <si>
    <t>…nte la noche, en que sale un pálido resplandor por entre las quiebras de la tierra. ESPAÑA. ' ' México de Febrero. Continuación de los partes de Nueva-España. .Parte del coronel y comandante D. Josef G-abriel de Armijo. ,,Excmo. Sr.: Consiguiente á lq que manifesté á V. E. en oficio de 18 de Diciembre próximo pasado desde Ajuchitlan, é instruido de la permanen cia del cabecilla JNÍicolas Bravo en Pancira con la fuerza de 300 rebeldes en espectativa de la suerte de los preso…</t>
  </si>
  <si>
    <t>Armijo, Josef Gabriel de</t>
  </si>
  <si>
    <t>Josef Gabriel de Armijo</t>
  </si>
  <si>
    <t>222</t>
  </si>
  <si>
    <t>…, siendo una de ellas la de perseguir al enemigo: todo lo qué le servirá á vmd. de gobierno, para que si lo tiene á bien lo ponga én conocimiento del Coronel y comandante ge*heral D. Josef Gabriel de Armijo. .</t>
  </si>
  <si>
    <t>…es noticias; y me prometo darle otras mayores respecto de este país. ,, Dios guarde ,á V. S. muchos años. Cuanlotitlan Febrero 14 de 1818. = Juan Isidro de Marrón. = Sr. coronel y comandante D. Josef Gabriel de Armijo.” Alicante /p de Setiembre. Eá esta ciudad ha ocurrido últimamente el siguiente caso de hidrofobia: el dia 14 de Agosto último un perro de lanas mordió á Doña Josefa Valero, de edad de. 56 años, y la hizo una herida en el párpado superior izquierdo, junto á l…</t>
  </si>
  <si>
    <t>Gaceta de Madrid n.º 119</t>
  </si>
  <si>
    <t>, „ Dios guardé á V. S. muchos años. Cuaulotitían Febrero 14 de 1818.== Juan Isidro de Marrón. = Sr: coronel y comandante D. Josef Gabriel de Armijo. P. D. Por varios dispersos prisioneros de Campos que cogí el 12 á mi re greso á este punto supe que este cabecilla iba herido de bala en el costado iz quierdo, y que impuso pena de la vida á los que lo descubrieran. Parte del capitán D. Manuel Elivar y Galea…</t>
  </si>
  <si>
    <t>…tiene á bien lo eleve al superior cono cimiento del Excmo. Sr. virey. ,,Dios guarde á V. S. muchos años. Goaulotitían Febrero 14 de 1818. ==¿ Juan Isidro de Marron.=Sr. coronel y comandante D. Josef Gabriel de Armijo.” . Parte del capitán D. Manuel Elivar y Galeana. ,,E1 2 á las nueve de la noche salí de este punto con 25 caballos para el parage de la Ciénega, tanto por traer al padre D. Manuel Luivano, como por haber sabido que había una reunión de 200 hombres al mando d…</t>
  </si>
  <si>
    <t>…e Zacualpan. viva el rey. ,, Excmo. Sr.: Acabo de saber por oficio del comandante itiilit¡r de Teloloapan la toma del fuerte de Zacatula, con escarmiento de gus defensores, por el coronel D. Josef Gabriel de Armijo, comandante general de este rumbo. Tan plausible noticia llena de gozo el corazón de los buenos ser vidores de S. M.; y esta general satisfacción del vecindario y tropas de mi mando la publican en este momento las salvas de artillería y repique general de cam…</t>
  </si>
  <si>
    <t>Armijo, Josef Mana</t>
  </si>
  <si>
    <t>Josef Mana Armijo</t>
  </si>
  <si>
    <t>…Dolores, qué de allí distará cuatro leguas; y suponiendo fuese espía, como lo era, hice en eí momento que el teniente coronel graduado D. Tomas Díaz con 30 de sus rea listas, y el capitán D. Josef Mana Armijo con igual número de dragones del’ Potosí, y compañía que él manda, siguiesen á escape la huella de aquel, y se echasen á toda costa sobre la gavilla, siguiendo yo con la reserva de 20 hombres con la misma priesa; pero no fue bastante, pues á favor de las su b…</t>
  </si>
  <si>
    <t>Armiñan</t>
  </si>
  <si>
    <t>…de estos rumbos, entre tanto que mi ayudante capitán D. Diego Arguelles mar chaba con otra á Jalapa á buscar víveres con que ponerme en marcha para efectuar la combinación con el señor Armiñan , que he manifestado á V. E., sobre Misantla -por el rumbo de Naulingo. ,,Habiéndose detenido en Jalapa el benemérito capitán Arguelles mas tiempo de lo que yo me prometía por causas que no pudo evitar, traté de que dos prisioneros rebeldes que tenia fuesen á…</t>
  </si>
  <si>
    <t>…pastoría de Colipa, en sus para petos y en los del rio de Misantla. „ Mañana al amanecer salgo para i^aulingo, á fin de efectuar por mi parte la combinación que he formado con ei señor Armiñan , y con la ma yor prontitud regresaré sobre el camino real,, y remitiré á V. E. la relación nominal de todos los individuos indultados. „En este pueblo queda el sargento mayor D. Josef María Travesi con 13° soldados de la columna de su mando, entre tanto que…</t>
  </si>
  <si>
    <t>Armiñan, Benito</t>
  </si>
  <si>
    <t>Benito Armiñan</t>
  </si>
  <si>
    <t>37</t>
  </si>
  <si>
    <t>…partes de 'Nueva-España. ' El Excmo. Sr. virey ha recibido el siguiente parte que le dirigió desde el campo de Peotillos, con fecha de 17 de Junio último, el coronel y coman dante general D. Benito Armiñan , en que refiere circunstanciadamente la ac-, cion de Peotillos contra el traidor Mina. „ Excmo. Sr.: El, 3 del actual estaba ya en marcha desde Altamira la di visión de mi mando., y, dirigiéndome á la hacienda del Cojo recibí avisos de que el traidor Mina, c…</t>
  </si>
  <si>
    <t>Arnao, Vicente González</t>
  </si>
  <si>
    <t>Vicente González Arnao</t>
  </si>
  <si>
    <t>…la academia, ó noticia de sus trabajos literarios desde el año de 1801 hasta fines de 1813. 2.0 Elogio del Excmo. Sr. conde de Campornanes, con varias -notas que le ilustran, por D. Vicente González Arnao. 3.0 Disertación histórica sobre la parte que tuvieron los españoles en las guerras de las cruzadas, y cómo in fluyeron estas expediciones desde el siglo xi hasta el xv en la extensión del comer cio marítimo y en los progresos del arte de navegar, con varios…</t>
  </si>
  <si>
    <t>Arostegui, Josef</t>
  </si>
  <si>
    <t>Josef Arostegui</t>
  </si>
  <si>
    <t>…Juan Bautista Vid al y D. Salvador García del* Corral’; los subtenientes D. Santiago Bullosa y Don Marcos Domínguez ; sargentos primeros distinguidos D. Mariano Sabas de la Peña, D. Josef Arostegui y D. Francisco Ruibal; sargentos primeros Lázaro Muñoz y Manuel del Rosario; idem segundo Rafael Nolasco.; cabos prime ros Dionisio Mar 6 Isidoro Malerva; ídem segundo Tosef Antonio? frny Compañías de fieles.re alistas. El capitán D. Fermín Qorrochótegui, de la de Tenapachi; el ca…</t>
  </si>
  <si>
    <t>Arozamena, Juan</t>
  </si>
  <si>
    <t>Juan Arozamena</t>
  </si>
  <si>
    <t>…n que hacia fuego nuestra caballe ría, y lo mucho que la cargaba la chusma , salí á paso redoblado con 60 in fantes para auxiliarlos, y entre ellos los cadetes del batallón ligero D. Juan Arozamena, D. Josef Arrieta y D. Juan Arrieta , logrando matarles un capi tán , 2 soldados y algunos heridos, poniéndolos al mismo tiempo en vergon zosa y precipitada fuga , sin que por nuestra parte haya ninguna novedad. , ,, No puedo menos de recomendar á V. S para q…</t>
  </si>
  <si>
    <t>Arozarena, Julián de</t>
  </si>
  <si>
    <t>Julián de Arozarena</t>
  </si>
  <si>
    <t>…smo lugar&gt; que lo son Dona Jo sefa María Rogibal, D. Francisco de Ayerbe, D. Domingo González Valdosera, ' Doña Manuela Martín Alonso, D. Manuel Rodríguez, D. Juan de las Fuentes, D. Julián de Arozarena, D. Manuel de Navacerrada, D. Lorenzo Tarsis y herma nos, D. Manuel de Iruegas, D. Josef Ignacio Gutiérrez, la casa de Iruegas y Gil, y D. Antonio Penaso, sus hijos, herederos ó sucesores, para que en el término de 30 dias, contados desde el 4 de Agosto del c…</t>
  </si>
  <si>
    <t>Arranz, Bernabé</t>
  </si>
  <si>
    <t>Bernabé Arranz</t>
  </si>
  <si>
    <t>Gaceta de Madrid n.º 98</t>
  </si>
  <si>
    <t>…s, al cargo del comandante del regimiento infantería de Jaén D. Antonio Romero de Leis, que se situará en Torre-Molinos; del mayor comandante de caballería de la costa de Gra nada D. Bernabé Arranz, que manda, las armas de Velez-Málaga, y de un capitán, que se situará donde crea mas conveniente dicho Excmó. Sr. go bernador. Distrito de Motril. Prijher gefe el Excmo.,Sr. gobernador conde de Ibeagh , mariscal de cam po, de dos Reales egércitos ; segundo g…</t>
  </si>
  <si>
    <t>Arranz, Manuel</t>
  </si>
  <si>
    <t>Manuel Arranz</t>
  </si>
  <si>
    <t>…citado r$7de Junio al 20 de Julio en la primera temporada, y desde el 20 de Agosto aí 30 de Octu bre en la segunda época: 5.0 que el médico director del establecimiento de Quinto D. Manuel Arranz reside actualmente en Zaragoza; el de Ardales D. Juan de la Monja en Casarabonela; el de Bornos D. Miguel Baldovi en este mismo pueblo; el de Caldetas D. Antonio Coca en Igualada; el de Caí das de Reyes D. Manuel Jacobo Fernandez en el misino pueblo; el de Sa…</t>
  </si>
  <si>
    <t>Arranz, Tomas</t>
  </si>
  <si>
    <t>Tomas Arranz</t>
  </si>
  <si>
    <t>…o también de otras personas distinguidas del pueblo, se dio principio á un examen público entre los niños.de la escuela de dicha villa, bajo la dirección de su respectivo maes tro D. Tomas Arranz, teniente de infantería. Los niños presentaron en primer lugar un número considerable de cuadernos de planas, en las cuales se admiro generalmente la limpieza, la claridad, la igualdad y demas calidades que de ben acompañar á la buena escritura. En seguida fu…</t>
  </si>
  <si>
    <t>Arre, Manuel</t>
  </si>
  <si>
    <t>Manuel Arre</t>
  </si>
  <si>
    <t>…D. Felipe Mendez, teniente D. Manuel Muñoz, al féreces D. Pedro de Legarreta y D. Feliciano Guerra, y cadete D. Nicolás Gutiérrez. Dragones de Querétaro: alféreces D. Josef Frias, D. Manuel Arre ta y D. Mauro Camocho. Dragones deS. Carlos: capitán D. Domingo ligar te y portas D. Josef Ignacio Ximenez y D. Pedro Alarcon. Fieles del Potosí: capitán graduado D. Mariano Guardiola. Realistas de Apan: capitán D. Joa quín Espinosa y D. Antonio Ortiz, tenien…</t>
  </si>
  <si>
    <t>Arredon</t>
  </si>
  <si>
    <t>…llegar al punto del Cochol, desde donde fácilmente haría correr mi tropa sobre la, Huasteca si la necesidad lo exigiese. „ En este mismo día á las 4 de la tarde recibí oficio del Sr. Arredon do, participándome la salida de los enemigos de la Marina, y como rezelaba que su dirección fuese á la Huasteca, me propuso por lo mismo la necesi dad de cubrir aquella avenida, creyéndome, según debo suponer, en mejor proporción de verificarlo, al mismo tiem…</t>
  </si>
  <si>
    <t>Arredondo, Joaquín</t>
  </si>
  <si>
    <t>Joaquín Arredondo</t>
  </si>
  <si>
    <t>130</t>
  </si>
  <si>
    <t>…l con el lema: Por la toma de Palmillas* ,,En otros partes que se han recibido del mismo virey, y cuyas fechas alcanzan hasta el 31 de Julio último, dice entre otras cosas: que el brigadier D. Joaquín Arredondo, comandante general de las provincias internas de Oriente,se había apoderado el 15 de Junio idel fuerte construido por los re beldes en Soto la Marina, en los términos que consta de la gaceta de aquel Gobierno núm. 1097 , habiéndose cogido 1500 fusiles y cara…</t>
  </si>
  <si>
    <t>…la creciente de ios ríos, á cu yo fin. tengo dadas las disposiciones convenientes„Hoy mismo he recibido un oficio del comandante general de las pro vincias internas de*Oriente el brigadier D. Joaquín Arredondo, participán dome la agradable y no esperada noticia de haberse encontrado en la costa del puerto de Matagorda el dia 21 de Julio último siete buques de los pira tas barados y enteramente destruidos, menos dos que estaban desarbolados y llenos de agua, de los…</t>
  </si>
  <si>
    <t>Arrese, Josef</t>
  </si>
  <si>
    <t>Josef Arrese</t>
  </si>
  <si>
    <t>…rtolomé Echenique 5 , D. Toribio Espinosa 20, D. Juan Plá 5 , D. Lo renzo Treillan- 5 , D. 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Sres. Perez y Chaves 4, D. Ramón Gutiér rez 6, D. Feliciano Borg…</t>
  </si>
  <si>
    <t>Arrieta, Josef</t>
  </si>
  <si>
    <t>Josef Arrieta</t>
  </si>
  <si>
    <t>…uestra caballe ría, y lo mucho que la cargaba la chusma , salí á paso redoblado con 60 in fantes para auxiliarlos, y entre ellos los cadetes del batallón ligero D. Juan Arozamena, D. Josef Arrieta y D. Juan Arrieta , logrando matarles un capi tán , 2 soldados y algunos heridos, poniéndolos al mismo tiempo en vergon zosa y precipitada fuga , sin que por nuestra parte haya ninguna novedad. , ,, No puedo menos de recomendar á V. S para que lo haga á S. E. el mérito que han…</t>
  </si>
  <si>
    <t>Arroyo, Cruz</t>
  </si>
  <si>
    <t>Cruz Arroyo</t>
  </si>
  <si>
    <t>…ría Treviño, Blas Zambrano é Ignacio Ayala: sargentos., cabos,soldados y trabajadores 406: mu ge res 420, y muchos niños de todas edades. Muertos: los titulados teniente coronel y comandante Cruz Arroyo, ayu*» dante Juan Hidalgo; sargentos, cabos y soldados 518. Cuartel general en el Plan de la hacienda de S. Gregorio Enero 3 de 1818.s Josef María Calderón. 5= V.° B.° = Pascual de Liñan. de chisNúm. 2.0 Estado que manifiesta el número de cañones ,armas pa ,…</t>
  </si>
  <si>
    <t>Arroyo, Josef Francisco</t>
  </si>
  <si>
    <t>Josef Francisco Arroyo</t>
  </si>
  <si>
    <t>…ares; y las raciones, también de idioma mexicano, á D. Dímas Maldonado y á D. Josef Alarcon: la canongía lectoral de la santa iglesia catedral de Monterey, nuevo reino de León , á D. Josef Francisco Arroyo, y á-D. Pedro Hom bre ja canongía de esta iglesia vacante por ascenso de D. f Josef Vivero á la dignidad de chantre de la misma: la dignidad de tesorero de? la santa iglesia catedral de Arequipa, vacante por muerte de D. Juan de Unzas , á D. Juan de Dios Büln…</t>
  </si>
  <si>
    <t>Arroyo, Rufina</t>
  </si>
  <si>
    <t>Rufina Arroyo</t>
  </si>
  <si>
    <t>da , á Joaquina Fernandez, á María de la Cavareda f 4 Leocadia González. Ep |eer y doctrina cristiana 4 Dominga Martínez, 4 Ana Bartolo.y 4 Inocente García. Escuela de Doña Rufina Arroyo. En costura i Jesusa Martin premie su perior; á Rosa Bazo, á Manuela Barranco, á María Alcalá. En leer y doc trina cristiana: á Catalina Martin, 4 Petra García, á Casilda Cprfa^co y á María del Pilar Fuente. Concluido el repartimiento de premios, pronunció un…</t>
  </si>
  <si>
    <t>Arteaga, Ignacio Giro de</t>
  </si>
  <si>
    <t>Ignacio Giro de Arteaga</t>
  </si>
  <si>
    <t>…isla. ' ' - - ■■■ ■ J .i'].' íl . ■ ■ ' 1 ■■ n . .......................... .... El día 15 de Julio próximo pasado de 1817 falleció en esta corte á los 68 años de edad el Exorno; Sr. D. Ignacio Giro de Arteaga é Idiaquez, marques de Valmediano, conde de Corres, grande de España de primera clase j caballero dé la insigne arden del Toison de oro , gran cruz de la Real y distinguida de Carlos rii v gentilhombre de Cámara de S. M., y su sumiller de corps. _ Instruido d…</t>
  </si>
  <si>
    <t>Artesero, Ramón</t>
  </si>
  <si>
    <t>Ramón Artesero</t>
  </si>
  <si>
    <t>…ca de la Real y militar orden de S. Hermenegildo que por ésta causa le estaba reteñid?* Asimismo se ha servido declarar buen servidor del Rey y de la patria al fi&amp;cal eclesiástico D. Ramón Artesero * pu blicándose ésta declaración en el egército con. arreglo-á ordenanza, y por me dio de los papbles públicos, á fin de que la satisfacción del general Osorio y del fiscal eclesiástico sea la mas conforme posible con la calidad y publicidad de la ofensa; y a…</t>
  </si>
  <si>
    <t>Asanco, Dominga</t>
  </si>
  <si>
    <t>Dominga Asanco</t>
  </si>
  <si>
    <t>…os, del Consejo d ; S. M., teniente corregidor de esta muy heroica villa, y por la escribanía de su número que egerce D. Juan Raya, dentro de 15 dias. Habiendo sido reclamados por Doña Dominga Asanco, y retenidos en la oficina de Renovación, tres vales Reales de 300 pesos, creación de i.° de Setiembre de 1808, núms. 69484, 69927 y 70125 , pertenecientes á D. Josef Mariano de Gandásegui, vecino de la villa de Bilbao, se acudió por este al Sr. D. Joaquín Ai…</t>
  </si>
  <si>
    <t>Asanco, Dominga'</t>
  </si>
  <si>
    <t>Dominga' Asanco</t>
  </si>
  <si>
    <t>…esta muy heroica villa, y escri-: banía del numero de D. Antonio Villa y Fernandez, y á su instancia con fecha 14 de Febrero de 1815 se libró despacho al pueblo donde residiese la Doña Dominga' Asanco, á fin de que se la hiciese saber que en el preciso y perentorio término de 15 dias compareciese ante div.ho señor juez y escribanía á exponer los motivos que hubiese tenido, y que la asistiesen para la reclamación de los expresados tres vales, bajo los aperc…</t>
  </si>
  <si>
    <t>Ascanio, Tomas Demetrio</t>
  </si>
  <si>
    <t>Tomas Demetrio Ascanio</t>
  </si>
  <si>
    <t>…s segundos de 35 á D. Fabian Ramos y D. Miguel Rodríguez González; pero enterada al mismo tiempo que con estos obtuvieron igual mérito Don Antonio Josef Tello , D.- Pedro Martin y D. Tomas Demetrio Ascanio, re solvió se distribuyesen entre los tres varios libros é instrumentos de su facul tad * con-el laudable objeto de estimularles á la continuación de sus penosas tareas en beneficio de la pública salud, atendiendo á ser este un influjo el mas eficaz á consegu…</t>
  </si>
  <si>
    <t>Asensio, Josef</t>
  </si>
  <si>
    <t>Josef Asensio</t>
  </si>
  <si>
    <t>…o de terminar los estribos de ellas. Acom paña á ésta obra una idea general de la montea, y un diccionario muy completo de todos los términos del arte, traducido ai castellano por D. Josef Asensio, profesor de arquitectura y grabado: tiene 40 láminas, y se halla de venta en la librería de Tieso, calle de las Carretas, juntamente con la arquitectura de Vignola y el trata do de sombras , que tiene para su explicación 66 láminas. Tratado de las plantas ve…</t>
  </si>
  <si>
    <t>Asiain, Tiburcio</t>
  </si>
  <si>
    <t>Tiburcio Asiain</t>
  </si>
  <si>
    <t>…lix García Gi rón , para manifestar que proporcionaba á los niños de su cargo la instrucción cristiana y política de que son susceptibles, de acuerdo co i el alcalde mayor el Lie, D. Tiburcio Asiain y el cura párroco el Dr. D. Félix Salcedo Alvares de Toledo, reunidos en las casas consistoriales, con asistencia de los sugetos de la mayor distinción de ambos estados, se celebraron el 13 del pasado exá menes tvjbücos presididos por el expresado alcalde, en…</t>
  </si>
  <si>
    <t>Asís, María Francisca de</t>
  </si>
  <si>
    <t>María Francisca de Asís</t>
  </si>
  <si>
    <t>…. 525. loco idem... En Málaga. 20570. 1000 idem... En Sevilla. ' ARTICULO DR OFICIO. Anteayer á las 6 y 35 minutos de la mañana dio á luz con toda felicidad la Serma. Sra. Infanta Doña María Francisca de Asís un Infante, á quien se han puesto en el bautismo ios nombres de Carlos Luis María. Con tan plausible motivo se sirvió mandar el Rey nuestro Señor que en acción de gracias se cantase él Te Deum en su Real capilla, y que se vistiese la corte de gala sin uniform…</t>
  </si>
  <si>
    <t>…de Cámara de S. M. El Rey nuestro Señor se dignó honrarlos con su presencia , acompañado de su augusta Esposa- y de SS. AA. los Serenísimos Sed ñores Infantes D. Gárlos; María y -Doña María Francisca de Asís y D. Fran-* cisco de Paula ,, dando ?por este mediómh' publico testimonio ¡del aprecio -qub les. merece aquel establecimiento, y del esmero con que pro tejen el estudio de •las ciencias. !■■■ ■■■ -;r. A pesar del respeto que debía inspirar natúralmente á unos jóvenes la…</t>
  </si>
  <si>
    <t>…se; dignó aprobar que la Reina nuestra Señoratomase bajo su protección estos establecimientos, nombrando ei Rey por i‘n— mediata gefa principal á S. A* R: la Serma. Sraí. Infanta Doña María Francisca de Asís, y una junta*de damas académicas de honor ó» de mérito encar gada; de la dirección y gobierno de lasescuela-s. El dia 7 del corriente fue el señalado para la reunión de estas señoras en la'Real academia de S. Fernando/á ciryoacto se dignaron concurrir SS. MM.…</t>
  </si>
  <si>
    <t>…testigos y como asistentes á tan solemne acto. Reunidos todo|, . *e presentaron SS. MM. el Rey y Reina nuestros Señores acompañados de los Sermos. Infantes D. Carlos María Isidro, Doña María Francisca de Asís, su muy cara Esposa, y D. Francisco de Paula Antonio. Habiendo ocupado SS. MM. las sillas del solio, poniéndose detras y .de pie el mayordomo del .Rey .nuestro Señor, y el capitán de guardias de su Real Persona, los Sermos. Infantes se colocaron en tres silla…</t>
  </si>
  <si>
    <t>Gaceta de Madrid n.º 157 (extraordinaria)</t>
  </si>
  <si>
    <t>1298</t>
  </si>
  <si>
    <t>…a ter nura á que la hacían acreedora su amabilidad y sus virtudes: no menos ha consternado esta desgracia * los Sermos. Sres. Infantes, y en especial d la Sere nísima Sra, Infanta Doña María Francisca de Asís, que ha perdido la mas amable y virtuosa Hermanq; y en fin la corte toda, al publicarse en ella tan de plorable nueva, dió muestras del mas profundo sen timiento por la pérdida de una Soberana, que era sus delicias. Los menesterosos lloran la falta de una mad…</t>
  </si>
  <si>
    <t>Aso, Ignacio Jordán y</t>
  </si>
  <si>
    <t>Ignacio Jordán y Aso</t>
  </si>
  <si>
    <t>…su paradero se sirva avisar en esta corte á D. Félix Lázaro y Gómez, que vive calle de los Negros, num. 32, y en Ledesma á Francisco Diez. Instituciones de Castilla, escritas por D. Ignacio Jordán y Aso y D. Miguel de Manuel, corregidas, Ilustradas y adicionadas especialmente con notas por D. Joaquín María Palacios, catedrático de prima de leyes patrias que fue de la universidad de Huesca, mandadas explicar en todas por Real orden, y según el ultimo plan de es tudios, para instru…</t>
  </si>
  <si>
    <t>Aso, Vicente</t>
  </si>
  <si>
    <t>Vicente Aso</t>
  </si>
  <si>
    <t>…s, á Jos siguientes: Á D. Josef del Ribero, maestro de la Real escuela del barrio de Sta. Cruz: ¿ D. Ildefonso Morales, maestro de la Real escuela del barrio de S. Nicolás: al Dr, D. Vicente Aso, presbítero, maestro de ía Real escuela del barrio de S.'Marcos: á D. Francisco Lorrío, maestro de la Real escuela del barrio de Buenavista: á D. Tomas* Rodríguez, maestro de la Real escuela del barrio de S. Pascual: á D. Julián Rojo, maestro de la Real escue…</t>
  </si>
  <si>
    <t>Astorga, Mariano</t>
  </si>
  <si>
    <t>Mariano Astorga</t>
  </si>
  <si>
    <t>…‘ ' . D. Vicente Vargas, titulado brigadier ; D. Eugenio Montesdeoca , id. sargento mayor. Infantería, D. Josef María Sosa, id. capitán; D. Miguel Loranca, id. teniente ayudante; D. Mariano Astorga/ ¡di id.; D. Narciso Ríos , id. id.; Miguel Somoza, sargento primero; Josef María Vargas, id. id¿; Josef María Gutiérrez; id. segundo; Martia García, id. id.; Ignacio Martinez, tambor; Josef Eduardo, cabo primero; Josef Julio, id.; Trifiidad Lo*-pez, id. segu…</t>
  </si>
  <si>
    <t>Atauri, Andrés Policarpo de</t>
  </si>
  <si>
    <t>Andrés Policarpo de Atauri</t>
  </si>
  <si>
    <t>…ión alusiva al asunto, pasó á distribuirlas entre los que particularmente se distinguieron ; y Ió hizo en esta forma v A D. Ulpiaño JóSéf dé Moroy, á É&gt;. Genaro de Eche varría y á D. Andrés Policarpo de Atauri tres iíiedallas de distinción ó pre mio sobresaliente por aplicación , virtud y mérito , lás cuales costeo y entre gó á la comisión de escuelas un sugeto amante de lá pública educación, y lás demas costeadas por él ayuntamiento&gt; á saber: á Doña Eugenia de Mor…</t>
  </si>
  <si>
    <t>Ateaga, Juan de</t>
  </si>
  <si>
    <t>Juan de Ateaga</t>
  </si>
  <si>
    <t>…n de los partes rendí idos di Exento. Sr. virey. _ i.° Del brigadier JD. Ciríaco de Llano. „Xxcmo. Sr. : En oficio número 40 de 4 del corriente me dice desde Tecsitlan el teniente coronel D. Juan de Ateaga lo que sigue: „ Dirijo á V. S. por duplicado el parte que con fecha 18 de/Octubre úl timo di desde el trapiche de Topila sobre to ocurrido en mi expedición del Coy oxquihui, y por no haber llegado á manos de V. S. presumo se haya extraviado___ En consecuencia…</t>
  </si>
  <si>
    <t>Atienza, Juan Antonio de</t>
  </si>
  <si>
    <t>Juan Antonio de Atienza</t>
  </si>
  <si>
    <t>…ctara el Go bierno para los progresos de nuestra agricultura, único ramo susceptible de particulares fomentos en el estado actual: se ha servido resolver que sin per juicio de que D. Juan Antonio de Atienza use del canal de riego que tiene abierto sobre el rio Júcar para dar agua á las 1® fanegadas ó mas tierras de sus referidas dehesas, oiga el intendente de Cuenca instructiva y sumariamen te á los interesados en este punto ; y valiéndose de peritos y de una vi…</t>
  </si>
  <si>
    <t>Atilano, Manuel Esteban</t>
  </si>
  <si>
    <t>Manuel Esteban Atilano</t>
  </si>
  <si>
    <t>…A la madrugada de ayer, al toque de diana, se me presentaron los re-í beldes'en este punto en número considerable, según se vio por el reconoci miento que hice con el subteniente D. Manuel Esteban Atilano y 40 hom bres, pues no bajaban de 600 de infantería y caballería, la mayor parte ar mados, de fusil y carabina; y en vista de esto me replegué .al cuartel, adomde-cargaron con toda fu fuerza, haciéndome un fuego terrible, que duró largo rato; mas después hice…</t>
  </si>
  <si>
    <t>Atilano, Manuel Estéban</t>
  </si>
  <si>
    <t>Manuel Estéban Atilano</t>
  </si>
  <si>
    <t>…* ste coronel graduado D; JoseL Aguilera yál los oficiales y:itrópáque.cQncurHe4* roíl con; ellos en las accidnes qoe .refieren t ha r concedido/el grado inmediato ai subteniente. D. Manuel Estéban Atilano *1 Sargentos *D. Pedro Gallardo é 1 sidro Sánchez * y á los cabos Miguel Vega, Manuel .Xittienez y Pablo Victoriano? y: ha prevenido que las familias .pobres de los que fallecieron en las acciones dichas dirijan sus instancias documentadas para declararles la…</t>
  </si>
  <si>
    <t>Aubarede, Guillermo</t>
  </si>
  <si>
    <t>Guillermo Aubarede</t>
  </si>
  <si>
    <t>…rebeldes ai mandó de un tal Paez, titulado general de ellos, y esperamos un feliz resultado de'lá acción que se va á dar.’* El comandante del bergantín Almirante teniente de navio D. Guillermo Aubarede comunica al comandante general de Marina de la Havaná con fé-r cha en Panzacola á 2 de Enero último , y este ha trasladado al Stv Secretarlo de Estado y del despacho de Marina, lo siguiente 1</t>
  </si>
  <si>
    <t>Auckland</t>
  </si>
  <si>
    <t>…rgo,debe tenerse presente querías deudas recon ócidas en los tra tados de 1814 y 15 estaban fundadas en las estipulaciones del famoso tra tado concluido con la Francia en I7S7 por lord Auckland. Por este tratado se estipuló que en -caso de .guerra todo súbdito .británico tendría el término de un año para retirar sus fondos de aquel país, y las deudas susodichas ha bían sido contraídas con .manifiesta infracción de este convenio. En el tratado de Ain…</t>
  </si>
  <si>
    <t>Auge, Patricio</t>
  </si>
  <si>
    <t>Patricio Auge</t>
  </si>
  <si>
    <t>256</t>
  </si>
  <si>
    <t>…la librería de Ranz, calle de la Cruz, á 48 rs. en pasta'y. 40 á la rústica. ^ ■ "Nota* En la gaceta núin. 23 dél sábado 21 de Febrero último, pág. 196, líneas $8 y 39, dónde dice D. Patricio Auge, léase D. Patricio Auge. EN LA IMPRENTA REAL.</t>
  </si>
  <si>
    <t>Auñon, Josef</t>
  </si>
  <si>
    <t>Josef Auñon</t>
  </si>
  <si>
    <t>…zález y D. Josef Martínez , de Sanlucar de Barrameda : D'. Josef Moreno, D. Manuel Felipe Caballero, D* Gaspar Angulo, D. Josef Gó mez Hormigo y D. Francisco Rodríguez, de Jerez : D. Josef Auñon, de Mo ren : D. Juan Aguado, de las Cabezas: el hermano Josef de la Cruz Menacho, de Puerto-Real: D. Juan Loustalet, de Cádiz: D, Agustín Fernandez, de Bornos: D. Juan Bolaños, de Zalamea: D. Pedro Romero Balmaseda, de Se villa; y D. Manuel Lerena y Caro, de…</t>
  </si>
  <si>
    <t>Austria, Juan de</t>
  </si>
  <si>
    <t>Juan de Austria</t>
  </si>
  <si>
    <t>…el de Cervantes Saavedra, y D. Josef Patino: 4.a D. Antonio Agustín, D. Sancho Davila, D Juan de Austria, D. Alvaro de Bazan , Antonio de Nebrija, y Pedro Me»nendez de Aviles: 5.0 D. Juan de Austria, Fr. Luis de Granada, Martin de Azpilcueta, Pedro Chacón, D. Bernardino de Rebolledo, y D. Luis de Góngora. con tinuará. ) En el juzgado de la subdelegacion general de bienes Mostrencos, Vacantes y Abíntestatos se han seguido y penden autos sobre denuncia de…</t>
  </si>
  <si>
    <t>Avalos</t>
  </si>
  <si>
    <t>1174</t>
  </si>
  <si>
    <t>…te interino del pueblo de la Piedad, pertenéciente á la provincia deVail&amp;dolid; y no puedo menos, en honor de la justicia, de apoyar la recomendación que hace dicho comandante del teniente Avalos, del capitán Suarez y del realista D. Juan Quilez para las gracias que V. E. tenga por conveniente concederles. Dios guarde á Y. E.. muchos' años. Guadalajara 9 de Abril de 1818. rs Excmo. Sr.bzJosef de la Cruz.=Excmo. Sr. v.irey D. Juan Ruiz def Apodaca.’! Y…</t>
  </si>
  <si>
    <t>Avalos, Feliciano</t>
  </si>
  <si>
    <t>Feliciano Avalos</t>
  </si>
  <si>
    <t>…uz. = Excmo. Sr. virey D. Juan Ruiz de Apodaca.” Parte del comandante JD. .Anastasio JBrizuela que se cita en el anterior. • ,,Excmo. Sr.: Acaba de llegar el teniente de realistas D. Feliciano Avalos, que salió hoy á las ocho de la mañana del sitio del fuerte de S. Grego rio, y ha logrado coger en el camino jo rebeldes, que fusiló, excepto el caudillo de estos Ignacio Márquez que ha conducido prisionero. Les quitó 5 retacos, algunos machetes y 20 caballos…</t>
  </si>
  <si>
    <t>…ta mañana se hizo la descubierta con la mayor prolijidad, y no se ha avistado hasta ahora ninguno de ellos. &gt; „Son notoriamente conocidos á Y E¿ los méritos y buenos servicios del teniente D. Feliciano Avalos, y por tanto dejo á su justa consideración el ín terescon que debe de recomendar á la superioridad este buen oficial; y contrayéndome al capitán D. Gabriel Suarez y benemérito realista D. Juan Qui lez , diré que el primero queda postrado en una cama, cargado…</t>
  </si>
  <si>
    <t>Avechuco, Juana</t>
  </si>
  <si>
    <t>Juana Avechuco</t>
  </si>
  <si>
    <t>668</t>
  </si>
  <si>
    <t>…urrido dicho término sin haberlo hecho les parará el perjuicio que haya lugar. El P. prior y comunidad de Carmelitas descalzos, título Corpus Christi, en Me dina del Campo, cita á Doña Juana Avechuco ó sus sucesores, para que concurran por sí ó por su apoderado á dicho convento á reconocer el patronato y sus dere chos; debiéndolo hacer antes dei 26 del corriente, pues de lo contrarío pasará el P. prior á realizar una de las cláusulas dei testamento de la…</t>
  </si>
  <si>
    <t>Avendañotpara, Joatquia</t>
  </si>
  <si>
    <t>Joatquia Avendañotpara</t>
  </si>
  <si>
    <t>…aco de Llano/' . Madrid 20 de Marzo. ARTICULO DE OFICIO. El Rey se ha servido nombrar para la vara de alcalde mayor primero de Granada á D. Gerónimo Agüero : para la de Ayamonre^á D. Joatquia Avendañotpara la de Siruela á D. Ramón Carvajal y Trejo:- para la de Casas de Bes á D. Francisco Sánchez Ferrer : para la de Bodonal á D. Ma nuel Arce y Revuelta: para la de Montoro á D. Justo Rodríguez Hurtado4; para la de. Constantina a D. Josef López Requena : para la d…</t>
  </si>
  <si>
    <t>Avijés, Cristóbal de</t>
  </si>
  <si>
    <t>Cristóbal de Avijés</t>
  </si>
  <si>
    <t>Gaceta de Madrid n.º 75</t>
  </si>
  <si>
    <t>las casas del*mismo Real ¿cuerpóy presidido* por el Si*. D. Cristóbal de Avijés. Casco y Castro, teniente de S. A. R. ,.con'su música marcial, y dolo-, cado en un' coche de gala el retrató de S. M.. escoltado por la compaiiia.de&gt; .granaderos del provincial de esta dicha ciudad, se dirigió á su plaza propia &gt; con espada en mano y toda mag…</t>
  </si>
  <si>
    <t>Avilés, Josef de</t>
  </si>
  <si>
    <t>Josef de Avilés</t>
  </si>
  <si>
    <t>…bncederle ctüz stjperñnmeraria de la Real y distinguida orden española de Carlos nr. ¡ í El Rey nuestro Señor se ha dignado conceder el uso de la condecoración de la flor de Lis á D. Josef de Avilés, capitán retirado y contador principal de aduanas de la provincia de Sevilla, en atención al amor y lealtad que ha acreditado tener á su Real Persona y á la augusta casa de los Borbones. El Rey nuestro Señor se ha servido conceder honores de médico de su Real…</t>
  </si>
  <si>
    <t>Aviles, María Tomasa de Ayala y</t>
  </si>
  <si>
    <t>María Tomasa de Ayala y Aviles</t>
  </si>
  <si>
    <t>…Ayala y Cárdenas, viuda del teniente coronel D. Gines de Cozar; Doña María Ayala y Cárdenas, muger de D. Bernardo Ribera, vecinos de la ciudad de Palma; D. Manuel Felipe de Ayala; Doña María Tomasa de Ayala y Aviles, y su marido D. Francisco Camargo; Doña María de la Paz Suxbet y Ayala, viuda de D. Josef Trevani; D« Josef María Surbet y Ayala, pres bítero; D. Juan Agustín Surbet y Ayala, regidor de la ciudad de Málaga; el mis mo D. Francisco de Paula Ayala y Camargo, y l…</t>
  </si>
  <si>
    <t>Avilés, Pablo</t>
  </si>
  <si>
    <t>Pablo Avilés</t>
  </si>
  <si>
    <t>…s que concurran han de te ner título de la Superioridad, ó se han de obligar á presentarle en el término de un año. Los memoriales se dirigirán á la Real junta de educación por su secretario Don Pablo Avilés. Guia de litigantes y pretendientes para el presente año de 1818. Se hallara en la tienda de Esparza, calle de la Concepción Gerónima. “------------------------------------------------------------------------------ '----------'—'— ' ■ ........................…</t>
  </si>
  <si>
    <t>Axel-Moerner</t>
  </si>
  <si>
    <t>…ue S. M. acaba de hacer en el egército y en la armada los mayores generales conde de la Gardie y barón de Plan ten han sido nombrados tenientes generales; el barón de Lowisin y el conde Axel-Moerner han sido promovidos á mayores generales; el almirante barón dé Steding ha sido nombrado almirante general, y contra-almirantes el barón de LagerÉielke y el coronel Schantz. En la sesión de la Dieta de Noruega del 30 del pasado el presidente dé la diputación n…</t>
  </si>
  <si>
    <t>Ay, Andrés de</t>
  </si>
  <si>
    <t>Andrés de Ay</t>
  </si>
  <si>
    <t>Gaceta de Madrid n.º 77</t>
  </si>
  <si>
    <t>…e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 previniéndoles que de no acu dir les parará el perjuicio que haya lugar. Quien supiere el paradero de D. Cristóbal Ignacio López de Cárdenas, que por el año…</t>
  </si>
  <si>
    <t>Ay, Martin Perez de</t>
  </si>
  <si>
    <t>Martin Perez de Ay</t>
  </si>
  <si>
    <t>…ero esto no es una con*dicion esencial de su existencia.” ESPAÑA. Segovia jo de Noviembre, El colegio de los doctrinos de esta ciudad, fundado en n de Octubre dé 1564 por el limo. Sr. D. Martin Perez de Ay ala, obispo que fue de está diócesis’, para educación de niños huérfanos hijos del obispado, de los cuales han salido muchos partocos, sabios y religiosos, quedó por Iaf invasión de los franceses privado de la protección del ilustre ayuntamiento de esta ciu d…</t>
  </si>
  <si>
    <t>Ayala, Francisco de</t>
  </si>
  <si>
    <t>Francisco de Ayala</t>
  </si>
  <si>
    <t>…S. M., teniente primero de corregidor de esta muy heroica villa, y escribanía dei número de Don Juan Antonio de lírraza, se hallan pendientes los autos principiados á instancia de D. Francisco de Ayala, teniente coronel de los Reales egércitos , y vecino y regi dor perpetuo de la ciudad de Málaga, contra el Sr. D. Josef Francisco de Xa vira*</t>
  </si>
  <si>
    <t>Ayala, Juan Agustín Surbet y</t>
  </si>
  <si>
    <t>Juan Agustín Surbet y Ayala</t>
  </si>
  <si>
    <t>…Doña María Tomasa de Ayala y Aviles, y su marido D. Francisco Camargo; Doña María de la Paz Suxbet y Ayala, viuda de D. Josef Trevani; D« Josef María Surbet y Ayala, pres bítero; D. Juan Agustín Surbet y Ayala, regidor de la ciudad de Málaga; el mis mo D. Francisco de Paula Ayala y Camargo, y la madre Sor María Francisca de Ayala y Camargo, religiosa profesa en*eL$oríyentQ/.de Sta.4Clara de la propia ciu dad: para mejor proveer, he¡mandadpHn,«^te día se cite1, ll$m…</t>
  </si>
  <si>
    <t>Ayala, Manuel Felipe de</t>
  </si>
  <si>
    <t>Manuel Felipe de Ayala</t>
  </si>
  <si>
    <t>…la Sra. Doña Francisca de Ayala y Cárdenas, viuda del teniente coronel D. Gines de Cozar; Doña María Ayala y Cárdenas, muger de D. Bernardo Ribera, vecinos de la ciudad de Palma; D. Manuel Felipe de Ayala; Doña María Tomasa de Ayala y Aviles, y su marido D. Francisco Camargo; Doña María de la Paz Suxbet y Ayala, viuda de D. Josef Trevani; D« Josef María Surbet y Ayala, pres bítero; D. Juan Agustín Surbet y Ayala, regidor de la ciudad de Málaga; el mis mo D. Fr…</t>
  </si>
  <si>
    <t>Ayala, Miguel de</t>
  </si>
  <si>
    <t>Miguel de Ayala</t>
  </si>
  <si>
    <t>…Badajoz, en el dia con igual empleo graduado.de subteniente del de Guada la jara, y de Doña María Teresa Creu. La persona que supiere su paradero sé servirá avisarlo en Madrid, á D. Miguel de Ayala, sargento primero distinguido del mencionado regimiento, que se halla de escribiente en la inspección general dé infantería. Las señas de la niña son: ojos pardos, pelo rubio, nariz regular, color blanco, con una cicatriz en la nariz junto al lagrimal del ojo…</t>
  </si>
  <si>
    <t>Ayerbe, Francisco de</t>
  </si>
  <si>
    <t>Francisco de Ayerbe</t>
  </si>
  <si>
    <t>…uinto lugar en la testamentaría de D. Manuel Calixto del Campo, se citar llama y emplaza á los demas acreedores graduados en el mismo lugar&gt; que lo son Dona Jo sefa María Rogibal, D. Francisco de Ayerbe, D. Domingo González Valdosera, ' Doña Manuela Martín Alonso, D. Manuel Rodríguez, D. Juan de las Fuentes, D. Julián de Arozarena, D. Manuel de Navacerrada, D. Lorenzo Tarsis y herma nos, D. Manuel de Iruegas, D. Josef Ignacio Gutiérrez, la casa de Iruegas y…</t>
  </si>
  <si>
    <t>Ayestarán, Juan Ignacio de</t>
  </si>
  <si>
    <t>Juan Ignacio de Ayestarán</t>
  </si>
  <si>
    <t>…cretario, escribano de Cámara mas antiguo, y de Gobierno del mi Conse jo, se le dé la misma fe y crédito que á su original. Dada en Palacio á o de Febrero de i8i8. = YO EL REY.=Yo D. Juan Ignacio de Ayestarán, se cretario del Rey nuestro Señor , la hice escribir por su mandado. = Er duque del Infantado. = D. Arrdres Lasauca.srD. Ramón López Pelegrin.rrD Juan Benito Hermosilla. = D. Josef Montemayor. = Registrada, Aquilino Escu dero. == Teniente de canciller mayor…</t>
  </si>
  <si>
    <t>Ayones, Josef</t>
  </si>
  <si>
    <t>Josef Ayones</t>
  </si>
  <si>
    <t>…á hacer el servicio de escucha durante la navegación; cuyos distinguidos servicios reco miendo á V. E. muy particularmente, como asimismo á los comandantes del buque y granaderos D. Josef Ayones y alférez D. Plácido Díaz, que han mostrado á satisfacción e! valor y serenidad que tenían bien acreditado anteriormente. Dios guarde á V. E. muchos años. S. Fernando 13 de Mayo de 1817. = Excmo. Sr. “Sebastian de la Calzada. = Excmo, Sr. gene ral en gefe.” 3…</t>
  </si>
  <si>
    <t>Azagra, Felipa de</t>
  </si>
  <si>
    <t>Felipa de Azagra</t>
  </si>
  <si>
    <t>Sí alguna persona 'supiere del paradero de Doña Felipa de Azagra, natural de &lt;a¿fos;í en Navarra, se servirá avisarlo en la imprenta Real, á fin de que dicha señora, y no otra persona, se presente en Pamplona já percibir la cantidad de reales que su hermano le remite de América. ,• , T . . . , .¡jTistema ingles de instrucc…</t>
  </si>
  <si>
    <t>Azara, Mariano Salas y</t>
  </si>
  <si>
    <t>Mariano Salas y Azara</t>
  </si>
  <si>
    <t>…D. J. M. Álós. El Rey se ha servido promover á subtenientes del Real cuerpo de arti llería á los caballeros cadetes del colegio militar de Segovia D. .Antonio Ter-^ jrero y Díaz; D. Mariano Salas y Azara; D. Francisco Lavalette y Rada; D. Rafael Suarez y Ceuti; D. Josef María Nuñez y Fernandez ; D. Josef Villamil y Uriarte; D. Narciso Ár'espacochaga y Bertendona; D. Josef XJrbina y Daoiz ; D. Josef Sola y del Castillo ; D. Pedro Villar y Abello \ Don Diego Fe…</t>
  </si>
  <si>
    <t>Azcárate, Blas</t>
  </si>
  <si>
    <t>Blas Azcárate</t>
  </si>
  <si>
    <t>…me con U mayor intrepidez con 20 infantes ae los suyos, cuando me, vi envuelto cóii soló 7 dlagóiies él día de la acción de Sombrerete éntre mas de 50 rebeldes. ,, El subteniente. D. Blas Azcárate hizo y está haciendo de mi ayudante^ con la mayor actividad y valor se distinguió ert todas sus operaciones, y co municó con puntualidad las órdenes que le daba. : ! ¿ , Los tenientes coroneles graduados de reálistas dé Chicontepeó D. Juan Antonia Cuervo y D-…</t>
  </si>
  <si>
    <t>Azopar-’, Miguel de Carrion y</t>
  </si>
  <si>
    <t>Miguel de Carrion y Azopar-’</t>
  </si>
  <si>
    <t>…ejase de recomendar á V. E. el gran mérito que contrajeron el co-! mandante de escuadrón D. Antonio Plá, el capitán gefe del estado mayor DonTomas Renovales y mi ayudante de campo D. Miguel de Carrion y Azopar-’ do, tanto por la bizarría con que á mi inmediación avanzaron al enemigo, como por la serenidad y prontitud con que contuvieron y ordenaron la ca ballería cuando fue rechazada. El capitán de Navarra graduado de teniente coronel D. Salvador de Medina, y el de l…</t>
  </si>
  <si>
    <t>Azpurua, Francisco de</t>
  </si>
  <si>
    <t>Francisco de Azpurua</t>
  </si>
  <si>
    <t>…as, 2 clarines y una corneta que se han remitido para el servicio de las tropas del brigadier D. Francisco Tomas Morales. ■ • El conde de la Granja 6 pesos, D. Pablo Echezuria 10, D. Francisco de Azpurua 20 , D. Juan Santos de Larrazabal 5, D. Josef Jesús Goenaga 10, D. Miguel Martínez 5, D. Pedro Aguerrebere 5, D. Domingo Segura 5 , Don Bartolomé Echenique 5 , D. Toribio Espinosa 20, D. Juan Plá 5 , D. Lo renzo Treillan- 5 , D. Francisco Espelosin 10, D. Mig…</t>
  </si>
  <si>
    <t>Azpurua, Ramón de</t>
  </si>
  <si>
    <t>Ramón de Azpurua</t>
  </si>
  <si>
    <t>…s 4, D. Josef Hernández Horta 4 , D. Matías Cas tro 4, D. Juan V ícente Perez 2, D. Antonio García 2 , D. Pedro Castillo 4, D. Josef Antonio Rasquin 5 , D. Francisco de Iturbe 10, D. Ramón de Azpurua 5 , Dv Miguel Rabelo Alcántara 16, D. Félix Domingo Martínez 2 , Don Juan: Esteban de dEehezuria 20, D. Bernardo Pénelas 20, T). Antonio Na;yarro 20, D. Josef Antonio y D. Manuel María Díaz 16 ¿ D. Agustín Espi no y D. Juan Ribero 20 , D. Félix López 2c, D. J…</t>
  </si>
  <si>
    <t>B, A.</t>
  </si>
  <si>
    <t>A. B</t>
  </si>
  <si>
    <t>…la circunstancia de que en los 34 pueblos que comprende el corregimiento solo en este hay preceptor. Diccionario de medicina y cirugía, ó biblioteca manual médico-quirúrgica, por D. A. B.: segunda edición. Obra en donde se recopilan por orden alfabético todos los principales conocimientos del arte de curar, comprendiendo la anatomía, fisio logía, patología, terapéutica, medicina práctica y legal, la cirugía y biografía mé dica, comprendiendo l…</t>
  </si>
  <si>
    <t>B, J. J.</t>
  </si>
  <si>
    <t>J. J. B</t>
  </si>
  <si>
    <t>Gaceta de Madrid n.º 102</t>
  </si>
  <si>
    <t>868</t>
  </si>
  <si>
    <t>…nuevos de la contradanza y wals del embarcadero , cuándo se embarcan SS. MM. y A A. en él estanque del Real sitia del Retiro, comjpuestos se paradamente para piano y guitarra: por D. J. J. B., ygrabados por D. Bartolomé Wirmbs. Ambas obrítas constan de varias partes mayores y menores , y están funda-1 das en los sistemas modernos de los Sres. Sor y-Moreti. Se hallarán á 4 rs. cada egemplar en la librería y almacén de papel de Ortega, catle.de las…</t>
  </si>
  <si>
    <t>Baból, Francisco</t>
  </si>
  <si>
    <t>Francisco Baból</t>
  </si>
  <si>
    <t>…, fue desgraciadamente atravesado por el vientre con una bala, y murió á pocas horas. „La misma suerte tuvieron peleando gloriosamente el teniente del mi$mo; regimiento de Navarra D. Francisco Baból, el capitán graduado teniente de la compañía de cazadores de la Union D. Josef Andrade, y el teniente deL batallón de la Reina Doña Isabel D. Juan Bermudez. „ EL brigadier D. Josef Canterac, á la cabeza de las tropas de su división, se distinguió , como siemp…</t>
  </si>
  <si>
    <t>Baez, Josef</t>
  </si>
  <si>
    <t>Josef Baez</t>
  </si>
  <si>
    <t>…Segura 5 , Don Bartolomé Echenique 5 , D. Toribio Espinosa 20, D. Juan Plá 5 , D. Lo renzo Treillan- 5 , D. 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Sres. Perez y Chaves 4, D. Ramón Gutiér rez…</t>
  </si>
  <si>
    <t>Bahamonde, Pedro</t>
  </si>
  <si>
    <t>Pedro Bahamonde</t>
  </si>
  <si>
    <t>do Muro 6 , D. Josef Lgnacio Casas 8, Doña María Josefa Blanco y herma-, na 2 , D. Juan Vicente Arévalo 2 , D. Sebastian Fernandez de León 6, Don Pedro Bahamonde 4, D. Siiverio Galarraga 2, D. Fermín Castillo Beitia y hermanos 4 , D. Ignacio Diaz 2, Doña Josefa Solórzano 1, el presbítero Dorr Josef Gregorio Avila 1, D. Josef Navas 2, Sra. marquesa de Casa León iof Total 683 pesos y 4 reales. Pamplona 27 de Agosto. En…</t>
  </si>
  <si>
    <t>Bailard</t>
  </si>
  <si>
    <t>36</t>
  </si>
  <si>
    <t>…aba todavía á bordo del Franklin, de 74 cañones, el primer navio anglo-americano de esta clase que se ha visto en un puerto británico: su porte es de 2500 toneladas, y le manda el capitán Bailard: dentro de poco tiempo irá al Mediterráneo para incorporarse con la escua dra de su nación que se halla en aquellos mares.</t>
  </si>
  <si>
    <t>Bailo, Antonio</t>
  </si>
  <si>
    <t>Antonio Bailo</t>
  </si>
  <si>
    <t>…el labrador que no hayan recogido ios tomos que les falten hasta el completo de los seis de que constan, lo harán en el término de dos meses de esta publicación en la. librería de D. Antonio Bailo; pasado dicho tiempo se completarán egemplares, y no se darán tomos sueltos. En dicha librería se sigue vendiendo la obra á 66 rs. á la rústica y 78 en pasta. La Heroína: historia escrita en francés por madama dcGenlis, y traducida al cas tellano. Esta obra,…</t>
  </si>
  <si>
    <t>1240</t>
  </si>
  <si>
    <t>…bles, para instruir en la latinidad y en las reglas de las buenas costumbres: dos tomos eri 8.° encuadernados en un volumen, su precio en pasta 15 rs. Se hallará en la librería de D. Antonio Bailo, calle de las Carretas. Gramática latina en castellano, dispuesta por el R. P. ¡Fr. Josef Carrillo, reli gioso y predicador del orden dé S. Francisco en la provincia de Bíirgos, y al pre sente maestro de latinidad en la ciudad de Sangüesa: obra útil para aliv…</t>
  </si>
  <si>
    <t>Balanzat, Ignacio</t>
  </si>
  <si>
    <t>Ignacio Balanzat</t>
  </si>
  <si>
    <t>…osef Conde. En leer á Josef Catalan. En Fleuri á Raimundo Bello. En verso á Francisco Morejon. En aritmética á Víctor .Alcalá. En gramática castellana : i.° á Ma nuel Rivas, 2.0 á D. Ignacio Balanzat. En ortografía: i.° á Ambrosio Gon zález, 2.0 á Julián Baloácid. En doctrina cristiana? preníió superior á Nata lio Pobo. Escuela gratuita del Real convento de S. Pedro Mártir. En leer : premio i.° á Apolinar Comendador, 2.0 á Casiano Gamez. En aritmética á J…</t>
  </si>
  <si>
    <t>Balboa, Clara Navarro</t>
  </si>
  <si>
    <t>Clara Navarro Balboa</t>
  </si>
  <si>
    <t>…ablo de Castilla;, se hallan pendientes au tos entre partes, de la una el señor fiscal por el dere.cKo.de la Real Hacienda,' y de la otra D. Fernando Joaquín Navarro Balboa Zayas, Doña Clara Navarro Balboa,1 D. Alfonso Mateos Fajardo, Doña Isabel An^ Alvarez y Montes, viuda que fue de D. Fernando Navarro Balboa, por sí y en nombre de su hijo menor D. Josef Trini4 dad Navarro Balboa y Doña María Ana Ducarne, viuda de D. Josef Navarro Balboa! como madre y tutora,…</t>
  </si>
  <si>
    <t>Balboa, Fernando Navarro</t>
  </si>
  <si>
    <t>Fernando Navarro Balboa</t>
  </si>
  <si>
    <t>…la Real Hacienda,' y de la otra D. Fernando Joaquín Navarro Balboa Zayas, Doña Clara Navarro Balboa,1 D. Alfonso Mateos Fajardo, Doña Isabel An^ Alvarez y Montes, viuda que fue de D. Fernando Navarro Balboa, por sí y en nombre de su hijo menor D. Josef Trini4 dad Navarro Balboa y Doña María Ana Ducarne, viuda de D. Josef Navarro Balboa! como madre y tutora, y sus cuatro hijos de menor edad D. Manuel, D. Miguel, Doií Joaquín y Doña María Concepta Navarro y Balboa…</t>
  </si>
  <si>
    <t>Balboa, Josef Navarro</t>
  </si>
  <si>
    <t>Josef Navarro Balboa</t>
  </si>
  <si>
    <t>…Isabel An^ Alvarez y Montes, viuda que fue de D. Fernando Navarro Balboa, por sí y en nombre de su hijo menor D. Josef Trini4 dad Navarro Balboa y Doña María Ana Ducarne, viuda de D. Josef Navarro Balboa! como madre y tutora, y sus cuatro hijos de menor edad D. Manuel, D. Miguel, Doií Joaquín y Doña María Concepta Navarro y Balboa, sobre incorporación á-la!Real corona.de la escribanía de millones dé la ciudad de Lorca*. en cuyos autos, por de* cretó de siete…</t>
  </si>
  <si>
    <t>Balboa, María Concepta Navarro y</t>
  </si>
  <si>
    <t>María Concepta Navarro y Balboa</t>
  </si>
  <si>
    <t>…ef Trini4 dad Navarro Balboa y Doña María Ana Ducarne, viuda de D. Josef Navarro Balboa! como madre y tutora, y sus cuatro hijos de menor edad D. Manuel, D. Miguel, Doií Joaquín y Doña María Concepta Navarro y Balboa, sobre incorporación á-la!Real corona.de la escribanía de millones dé la ciudad de Lorca*. en cuyos autos, por de* cretó de siete de este mes, ha acordado dicho supremo tribunal se cite y emplace á los referidos interesados, por medio de la gaceta y diario, p…</t>
  </si>
  <si>
    <t>Balda, Francisco de Paula</t>
  </si>
  <si>
    <t>Francisco de Paula Balda</t>
  </si>
  <si>
    <t>…y Velasco; y la ración que resulta vacante á D. Josef de Novoa y Parga: últimamente la ración que ha quedado vacante en la santa iglesia catedral de Durango- por fa llecimiento de D. Francisco de Paula Balda á D. Pedro Míllan Rodríguez. También se ha dignado S. M. conceder á D. Bartolomé Mosquera la pla za de oidor de la Real audiencia del Cuzco, que se halla vacante por ascenso de D. Pedro Antonio Cernadas á regente de la de Santiago de Chile : á Don Antonio Mar…</t>
  </si>
  <si>
    <t>Baldovi, Miguel</t>
  </si>
  <si>
    <t>Miguel Baldovi</t>
  </si>
  <si>
    <t>…da época: 5.0 que el médico director del establecimiento de Quinto D. Manuel Arranz reside actualmente en Zaragoza; el de Ardales D. Juan de la Monja en Casarabonela; el de Bornos D. Miguel Baldovi en este mismo pueblo; el de Caldetas D. Antonio Coca en Igualada; el de Caí das de Reyes D. Manuel Jacobo Fernandez en el misino pueblo; el de Sacedon D. Marcelino Sainz en el citado pueblo; el de Puerto-Llano D. Car los Martin del Romeral en esta corte calle…</t>
  </si>
  <si>
    <t>…erales de ’Villavieja, en el reino dé valencia, el pri mero, y á Baños de Bejar, en la provincia de Salamanca, el segundo; el de los de Hornos , en la provincia marítima de Cádiz, D. Miguel Baldovi, á las aguas de Lanjaron , en las Alpujarras; los de Cortegada y Caldas de Cuntís, en Galicia, D. Benito Sanjnrjo y D. Manuel Domínguez, á Carbol lino con su agregado Partovia el. primero, y á.Carballorel segundo, e,n di.cho reino, que* dando suprimida la pla…</t>
  </si>
  <si>
    <t>Ballester, Josef</t>
  </si>
  <si>
    <t>Josef Ballester</t>
  </si>
  <si>
    <t>El Rey nuestro Señor se ha dignado admitir el donativo de 4222 rs. y 2 mrs. que ha hecho en favor del Real erario el oficial primero del cuerpo del Ministerio de Marina D. Josef Ballester de sus haberes vencidos desde 1.* de Enero hasta fin de Diciembre de 1817, y mandado que se le den las gra cias en su Real nombre, y se publique en ía gaceta para satisfacción del in teresado. Consultada frecuentemente la Real junta superior gubernativa de me…</t>
  </si>
  <si>
    <t>Ballesteros, Blas</t>
  </si>
  <si>
    <t>Blas Ballesteros</t>
  </si>
  <si>
    <t>…preparadas con el siguiente lema: Premio d la juventud aplicada. finalmente sé. distribuyeron á los examinados Don Juan Ximenez de Muñana, D. Rafael de Rovina, D. Francisco Díaz, Don Blas Ballesteros, D. Mariano Jaén y D. Benigno Perez; habiendo sentido mucho la junta no tener arbitrio para recompensar á los demás. Madrid 11 de Setiembre. A R T I C V 1- 0 Ef R Q F T Q I Q. El R^%' nuestro Señor,, que se desvela ¡por la felicidad y fomento de $ut&gt;</t>
  </si>
  <si>
    <t>Ballesteros, Diego</t>
  </si>
  <si>
    <t>Diego Ballesteros</t>
  </si>
  <si>
    <t>Gaceta de Madrid n.º 66</t>
  </si>
  <si>
    <t>546</t>
  </si>
  <si>
    <t>…M. ta visita en compa ñía de su augusta Esposa la Reina nuestra Señora y toda la servidumbre* Fueron recibidos á la puerta por el Excmo. Sr. protector, el inspector de caballería D. Diego Ballesteros, los empleados y compañía‘de alumnos for mados en ala, en medio de los mas alegres, vivas y cordiales aclamaciones! Se dirigieron SS. MM. al gabinete anatómico, y en seguida al picadero; don de tomando asiento bajo un dosel que se preparó de pronto, «1 direct…</t>
  </si>
  <si>
    <t>…to de Ja cria de caballos, dado al supremo Con sejo de la Guerra por los tenientes generales D. Antonio Amar , D.. Manuel Freire, el marques de Casa-Cagigal y el mariscal de campo D. Diego Ballesteros, extendido por el citado marques, individuo de la. junta, y con arreglo a las opiniones de esta, impreso con aprobación de S. M.: un tomo en 4.0 á 8 rs. en rústica. Véndese en la librería de Perez, calle de las Carretas. EN LA IMPRENTA REAL.</t>
  </si>
  <si>
    <t>Ballesteros, Henrique</t>
  </si>
  <si>
    <t>Henrique Ballesteros</t>
  </si>
  <si>
    <t>…vivo D. Josef CasaS, agregado al batallón segundó ligero primero de Cataluña: el segundo por él coronel sargento mayor del campo D. Josef dé Vélasco; y el tercero por el .teniente coronel D. Henrique Ballesteros, espitan del batallón ligero prime ro de Cataluña, siendo ayudante del coronel D. Josef de Velasco el capitán graduado D. Agustín Cabrera, teniente del regimiento infantería 4e Galicia. : Otra. De la tropa que resulta disponible á los regimientos; de Galicia,…</t>
  </si>
  <si>
    <t>Balmaseda, Fermín Martin de</t>
  </si>
  <si>
    <t>Fermín Martin de Balmaseda</t>
  </si>
  <si>
    <t>…X Fernando vri , ó colección de Reales resoluciones expe didas por los diversos Ministerios 7 Consejos en todo el año de 1817,.tomo 4.^: dispuesto en virtud de orden de, S. M. por D. Fermín Martin de Balmaseda. La obli gación que todos tenemos eti que tengan cumplido efecto las disposiciones de S. M. para ei mejor órden de las cosas, hace tanto, mas recomendable ía colección de Rea les resoluciones, cuánto, que siendo distintas las causas que las promueven, son m**…</t>
  </si>
  <si>
    <t>Balmaseda, Pedro Romero</t>
  </si>
  <si>
    <t>Pedro Romero Balmaseda</t>
  </si>
  <si>
    <t>…n : D. Juan Aguado, de las Cabezas: el hermano Josef de la Cruz Menacho, de Puerto-Real: D. Juan Loustalet, de Cádiz: D, Agustín Fernandez, de Bornos: D. Juan Bolaños, de Zalamea: D. Pedro Romero Balmaseda, de Se villa; y D. Manuel Lerena y Caro, de Trebujena. El caballero Espinosa mostró á nombre de lá hermandad su satisfacción al</t>
  </si>
  <si>
    <t>Baltasar</t>
  </si>
  <si>
    <t>…orio término de 30 días; con apercibimiento de que pasados sin mas citación ni emplazamiento, se accederá á la solicitud hecha por par te de Dona Paula de Frías, hija del referido D. Baltasar, dirigida á que se declare haber sucedido en todos los derechos de sus dos hermanos , y por consecuencia en los de sus padres. Catechismi romani expqsitio variis praelectionibus secundum novam methodum tam in dioecesi Toletana, quam in aliis Hispaniarum et In…</t>
  </si>
  <si>
    <t>Baltasara</t>
  </si>
  <si>
    <t>…Para censurar los trabajos de 15 niñas, las 12 de ellas- pobres, que presen tó Doña María González, maestra dé la escuela situada en la ciudad, y de 4b"^ué contiene la escuela dé Doña Baltasara deDiosdado, situada ew‘elar ra bal, élifció (a sociedad en junta presidida del mismo socio director*á .las seño» rás* Doña Lorenza Ortiz de Paz * Doña Ana Menocal i Doña. Gavina Moyano y Doña Manuela Ortiz de Paz , quienes reconocieron las]abores.;yhahiendo s…</t>
  </si>
  <si>
    <t>Balugera, Manuel</t>
  </si>
  <si>
    <t>Manuel Balugera</t>
  </si>
  <si>
    <t>…rdo como otros muchos señores del citado concurso. Los discípulos de gramática latina, cuya enseñanza está al cargo del rectoi* D. Santiago de Izaga , presbítero , y del repetidor D. Manuel Balugera, llena ron igualmente de una completa satisfacción á todos los concurrentes por ía prontitud , acierto y desembarazo con qüe eada úno en su respectiva clase dio pruebas de su aplicación y adelantamiento. En seguida el ayuntamiento, aunque bien satisfecho de q…</t>
  </si>
  <si>
    <t>Bandiní, Juan Bautista</t>
  </si>
  <si>
    <t>Juan Bautista Bandiní</t>
  </si>
  <si>
    <t>Gaceta de Madrid n.º 10</t>
  </si>
  <si>
    <t>81</t>
  </si>
  <si>
    <t>…l acto con un discurso, en el que manifestó todas las ventajas quef estosf establecimientos podrían proporcionar á la felicidad pública ; después del cual el secretario del cuerpo D. Juan Bautista Bandiní leyó el extracto de las actas del año que acababa de terminarse. £n seguida el censor D.‘ Josef Antonio Morales ,alcalde mayor de esta isla, leyó un elo gio deiREsmúestro Señor, que fue oido con una satisfacción correspondiente .al amor que iodos profesan:Ú t…</t>
  </si>
  <si>
    <t>Banelli, Antonio</t>
  </si>
  <si>
    <t>Antonio Banelli</t>
  </si>
  <si>
    <t>…te aparato, como también el que se va á construir en grande, el teniente de navio D. Francisco de Clemente y Miro, y el ar-, tista y constructor de instrumentos físicos y químicos D. Antonio Banelli¿ los. mismos que en compañía del capitán retirado del Real cuerpo de Artille** ría D. Tomas Sixto, construyeron el aparato y los demas ensayos de que han hecho mención los papeles públicos. Madrid 15 de Mayo. En el sorteo de la Real lotería moderna celebrado…</t>
  </si>
  <si>
    <t>Baños, Felipe</t>
  </si>
  <si>
    <t>Felipe Baños</t>
  </si>
  <si>
    <t>…manda de reciamacion por dicho señor encargado D. Antonio Guillelmi, como pertenecientes í Jos que se dice fueron sacados á la fuerza por el Gobierno intruso del tesorero de S. A. D. Felipe Baños, y en cuya cabeza resulta salieron en la renovación del pre citado año de 1808; y i su virtud se les cita para que en el término de 30 dias, con tados desde la publicación de este aviso, comparezcan'por sí ó por medio desús respectivos apoderados á usar del/d…</t>
  </si>
  <si>
    <t>…gozo el Sermo. Sr. Infante D. Antonio Pascual (que en paz descanse), como pertenecientes á los que parece fueron sacados á la fuerza por el Gobierno intruso del tesorero de S. A. D. Felipe Baños, por quien resulta fueron endosados en 3 de Abril de 1809 al director de bienes nacionales, y desde este siguen otros endosos hasta I03 últimos tenedores; y á su virtud se les cita á estos para que dentro del referido tér mino comparezcan ante el enunciado se…</t>
  </si>
  <si>
    <t>Baños, Felipe de</t>
  </si>
  <si>
    <t>Felipe de Baños</t>
  </si>
  <si>
    <t>Gaceta de Madrid n.º 63</t>
  </si>
  <si>
    <t>…nda, de reclamación por dicho señor encargado D. Antonio Guilielmi, como pertenecientes á los que se dice fueron sa cados á la fuerza por el Gobierno intruso del tesorero de S. A. D. Felipe de Baños, por quien resulta fueron endolados en 3 de Abril de 1809 *1 director de bienes na-r cionales, y desde este siguen otros endosos hasta los últimos tenedores ; y á su vir tud se les cita para que estos en el término de 30 dias, contados desde Ja publica ción d…</t>
  </si>
  <si>
    <t>Baquerizo, Manuel Junquito</t>
  </si>
  <si>
    <t>Manuel Junquito Baquerizo</t>
  </si>
  <si>
    <t>…imiento de infantería de Ceuta. Igualmente se ha servido S. M. conceder en América el gobierno y co mandancia general de la provincia de Maracaibo,en las de Venezuela, al co ronel D. Manuel Junquito Baquerizo, y la sargentía mayor de la plaza de Campeche á D- Josef María Castro * capitán dei batallón veterano de Castilla*</t>
  </si>
  <si>
    <t>Barajas</t>
  </si>
  <si>
    <t>…ento de todos, mar chando hace dos meses por terrenós fragosos y doblados, teniendo las mas de las noches que vivaquear al raso; y en esta vez tuvo lugar de señalarse el in dicado sargento Barajas, cuyo mérito distingo particularmente por ser digno de premio, y muy acreedor por su bizarría, y asimismo recomiendo el de todos para que se sírva elevarlo al superior conocimiento del Excmo. Sr. virey; y debo también con sobrado motivo manifestar mi agradeci…</t>
  </si>
  <si>
    <t>Barajas, Santiago</t>
  </si>
  <si>
    <t>Santiago Barajas</t>
  </si>
  <si>
    <t>…n en su segui miento" míen tras" se aproximaba la infantería, pues según noticias de un pri sionero debía hallarse una] emboscada en gran número á muy corta distancia; mas cosp el sargento Santiago Barajas, qué mandaba los 12 caballos dél cuer po de Frontera, se metió entre sus filas hasta ponerlos en dispersión , matan do potj ;Si; ¡plasmo a dós de ellos y quitándoles larcája de guerra, no se les pudo dar alcance en el distrito de una legua que se. les persigu…</t>
  </si>
  <si>
    <t>Barbería, Félix</t>
  </si>
  <si>
    <t>Félix Barbería</t>
  </si>
  <si>
    <t>…antos con currieron á aquellos actos. En la clase de gramática castellana ganó el primer premio Venancio Huarte; y el segundo Próspero Barricnrte, habiéndose acercado á merecerlos D. Félix Barbería, D. Juan Pablo Ribed, Pedro Arguiñariz, Sebastian Suhit, Marcelino Arrivillaga y Juan Alfonso y Manuel Egozco. • En la escritura de primer orden se adjudicó el premio primero á Fran-r cisco Jriarte; y el segundo á Pedro Luis Campano , y se acercaron á mere ce…</t>
  </si>
  <si>
    <t>Barbet, Manuel</t>
  </si>
  <si>
    <t>Manuel Barbet</t>
  </si>
  <si>
    <t>…dias 2 y 3 del corriente mes. Dióse principio por un papel alusivo al objeto, que leyó el primer maestro di rector D. Cayetano Fernandez Villamil. Fueron examinados en aritmética Don Manuel Barbet, D. Ramón Peón, D. Josef Rodríguez Romero, D. Luis Cla^ vareza, D. Juan Corvera y D. Josef Echániz. En álgebra'D. Manuel Rodrí guez Almeida. En geometría ios citados Almeída y Clavareza, D. Manuel María Riberos, D. Vicente Rey, D. Ramón Casal y D. Joaquín Cla…</t>
  </si>
  <si>
    <t>Barea, Antonio</t>
  </si>
  <si>
    <t>Antonio Barea</t>
  </si>
  <si>
    <t>…Vacantes: Eugenia Alonso. Consejo de Castilla; Manuel Amador. Propias de Madrid t Manuel Revuelta. Sugetos que se hicieron acreedores d la medalla de honor. D. Manuel María Raíz, D. Antonio Barea, D. Domingo Rodríguez Car vajal, D. Josef Albarran, D. Pedro Giménez de Haro y D. Domingo Lama. Nota. Manuel Resuelta , Manuela Esperanza, Manuel Amador , Eugenia Alonso y María Gómez están declarados acreedores á ser admitidos en los establecimientos público…</t>
  </si>
  <si>
    <t>Bares, Juan</t>
  </si>
  <si>
    <t>Juan Bares</t>
  </si>
  <si>
    <t>Gaceta de Madrid n.º 155</t>
  </si>
  <si>
    <t>…o que por las frases del comisionado.” ARTICULO DE OFICIO* Por Real resolución de 10 del presente mes, á consulta del Consejo su premo de la Guerra, se ha servido S. M. conceder á D. Juan Bares, licen ciado en farmacia, y vecino de la villa de Alba de lormes en Castilla la "Vieja, el fuero militar y uso de uniforme de primer ayudante de farmacia de egército, en premio de los servicios que ha hecho en las boticas militares de campaña durante la últim…</t>
  </si>
  <si>
    <t>Barragan, Miguel</t>
  </si>
  <si>
    <t>Miguel Barragan</t>
  </si>
  <si>
    <t>…los partes de Nueva-Esfaña. VALI ABOLI». * f Oficio del coronel y comandante D. Matías ^Martin y Aguirre. ,,Excmo. Sr.: Con fecha 10 del presente me da parte el teniente co ronel D. Miguel Barragan que el 31 del próximo pasado derrotó en Ja hacien da de Tomendan la gavilla del traidor Cniviliny , con muerte de 60 rebeldes, 12 prisioneros, y completa dispersión del resto dé la gavilla, que persiguió: Le quitó 28 fusiles, 13 bayonetas, 3 pistolas, 1 ó sab…</t>
  </si>
  <si>
    <t>…in y Aguirre. = Excmo. Sr. virey D. Juan Ruiz de Apodaca.” 2.0 ,, Excmo. Sr.: Despúes de mi parte anterior semanal recibí noticia de la derrota que hizo sufrir el teniente coronal D. Miguel Barragan á la ga villa del rebelde Chiviliny en la hacienda deTomendan el 31 del próximo pa sado Marzo, que comuniqué á V. E. ,,La sección que al mando del teniente coronel D. Vicente L,ara siguió</t>
  </si>
  <si>
    <t>…persecución de la gavilla del apóstata Torres continúa en este objeto, sin haber tenido noticia de sus movimientos por la distancia, y acaso extravío de los correos. ,,El teniente coronel D. Miguel Barragan, que fue destinado con otra seca ción á empezar la pacificación de los valles de Ario y Puruaran, estableció el 10 del presente cuatro destacamentos en las haciendas de Tomendan, Araparacuaro, Tipitarillo y Comiembaro para libertarios del incendio que intenta…</t>
  </si>
  <si>
    <t>…uitar 40 cargas, de, algodón-que conducian. ; &lt; • . ¡ \ ,,Desde dicho puntóme comqnica su comandante militar, teniente coro nel D. Josef Urbano, que una partida del de igual clase D. Miguel Barragan aprehendió al titulado mariscal Huidobro, teniente coronel; Campuzaho, ca^ pitan Bolaños y otros; todo lo que pongo en él debido superior conocimiento de V. E. ínterin recibo les partes. ; , L ,• • •’ ,, Dios guarde ’á.V, E. muchos años. WJadolid A,bril ' 27…</t>
  </si>
  <si>
    <t>1 „ Las secciones que mandan el sar gento mayor D. Josef de Castro y te niente coronel D. Miguel Barragan continúan adelantando lá pacificación sin novedad, y no la ha habido en los destacamentos y guarniciones de la pro vincia. ,, Dios guarde á V. E. muchos anos. Valladolid Junio 24 de 1818. = Excmo. Sr. = Matías Martin y Aguirre.= Excmo. Sr. virey D. Juan Ruiz…</t>
  </si>
  <si>
    <t>Barraicoa, Gregorio</t>
  </si>
  <si>
    <t>Gregorio Barraicoa</t>
  </si>
  <si>
    <t>…a servido nombrar S» M. á D. Fer nando María López de Sagredo, alcalde mayor dé Ronda; para esta vara á J&gt;. Juan María' de la Terfe-*-electo alcalde mayor de Zaragoza; para esta á D. Gregorio Barraicoa, alcalde mayor de.Ocaña ; para el corregimiento de A randa de Duero á D^ Francisco Mafia-Sánchez Castilla', alcalde mayor de Plaseocia; pafa esta vara á D. Miguel Calveton; para la de Menasalbas á D. Veremundo Medrano; para la; dé Orel lana de la Sierra á D.…</t>
  </si>
  <si>
    <t>Barreiro, Josef</t>
  </si>
  <si>
    <t>Josef Barreiro</t>
  </si>
  <si>
    <t>…del regimiento de Navarra, se han hecho, acreedores por su buena comportación y bizarría á la consideración deV.E.; del mismo modo que los coroneles graduados J). Antonio Casano y D. Josef Barreiro, dej Real cuerpo de Artillería, que estuvieron llevando mis órdenes á los puntos de mas peligro por.no poder estar empleados en su arma. „El coronel.D. Francisco Warieta , gefe interino del estado mayor ge neral , y los tenientes adictos al estado mayor D» Ma…</t>
  </si>
  <si>
    <t>Barrio, Julián Josef del</t>
  </si>
  <si>
    <t>Julián Josef del Barrio</t>
  </si>
  <si>
    <t>…e infantería del Infante D. Cárlos, antes Real de Lima, dependientes ambos del vireinato de Nueva-España. S. M. se ha dignado conferir el arcedianato de la catedral de la Havana á D. Julián Josef del Barrio, canónigo de aquella iglesia: la canongía magistral de la catedral de Valladolid de Mechonean á D. Antonio Camacho : una ra ción de esta misma iglesia, vacante por ascenso de D. Antonio Cortés y dar te, al medio racionero D. Juan Bautista Eguren; esta resulta…</t>
  </si>
  <si>
    <t>…las obtenían. Igualmente se ha servido S. M. conferir á D. Josef Rafael de los Santos la canongía que ha resultado vacante en la santa iglesia catedral de la Havaná por ascenso de D. Julián Josef del Barrio á arcediano de la misma iglesia: la canongía doctoral de la de Valladolid de Mechoacan á D. Josef Domingo López de Letona: la de igual clase en la colegiata de nuestra Señora de Gua dalupe de México á D. Josef María Quüez: las cánongías de idioma mexica no en…</t>
  </si>
  <si>
    <t>Barron, Guillermo</t>
  </si>
  <si>
    <t>Guillermo Barron</t>
  </si>
  <si>
    <t>…e .D. Elias Izquierdp y Payan, lia mandado citar y em plazar á la sociedad de Thornton y Power, de, Hamburgo, y .á D. Juan Reyes, co mo acreedores á la testamentaría concursada de D. Guillermo Barron, para que ocurran por sí, sus representantes, apoderados, herederos 6 personas autorizadas al percibo de las cuotas que se les han asignado en repartos hechos en el perentorio término de seis meses; prevenidos que en defecto se le dará el destino prevenido po…</t>
  </si>
  <si>
    <t>Barrondo, Sebastian</t>
  </si>
  <si>
    <t>Sebastian Barrondo</t>
  </si>
  <si>
    <t>…o de teniente coronel D. Salvador de Medina, y el de la Corona D. Francisco González, se distinguieron en sumo grado, como igualmente los de caballería del Rey D. Francisco Nuñez, D. Sebastian Barrondo, D. Josef Antonio Martínez,' D. Félix Solórzano y D. Felipe Ramos, que fueron incansables en matar ene migos , como el teniente D. Benito Franco y el alférez D. Miguel Chaparro, todos los que se han hecho acreedores á que V. E. tenga la bondad de elevar su mé…</t>
  </si>
  <si>
    <t>Barroso, JÓsef Vivas y</t>
  </si>
  <si>
    <t>JÓsef Vivas y Barroso</t>
  </si>
  <si>
    <t>Gaceta de Madrid n.º 147</t>
  </si>
  <si>
    <t>Por Real resolución de 16 del presente mesj á consulta del Cbnsejo supreníO de la Guerra , se ha servidoS. M. conceder á D. JÓsef Vivas y Barroso, prac-* ticante de farmacia que fue en las boticas militares de campaña en la última guerra, el fuero militar y uso de uniforme de la clase en que sirvió, y le cor responde como comprendido en la circular de 19 de Junio de 1815 ; declaran do al mismo tiempo l…</t>
  </si>
  <si>
    <t>Basadre, Ignacio</t>
  </si>
  <si>
    <t>Ignacio Basadre</t>
  </si>
  <si>
    <t>…a constante hasta ver el fin que habian tenido los dragones de Nueva-Galicia; pero á la sazón se presentaron el capitán Don Juan Peredo, el teniente D. Antonio Vázquez y el cadete D. Ignacio Basadre pidiéndome tropa para por las azoteas proteger á los dragones que se escapaban de las garras de los enemigos, como en efecto se verificó; pues parte de mi tropa, al mando del capitán Peredo, sostenía á los que buscaban asilo : asi logrp dicho capitán y el ten…</t>
  </si>
  <si>
    <t>Basave, Juan</t>
  </si>
  <si>
    <t>Juan Basave</t>
  </si>
  <si>
    <t>…os capitanes D. Facundo Melgares, D. Cristóbal Villaseñor y D. Eusebio Moreno: el teniente coronel graduado D. Alejandro María Arango; y mis ayudantes de campo el capitán graduado D. Juan Basave, el alférez de na vio de la Real armada D. Juan Sanjurjo Montenegro, y el primer ayudante del Real cuerpo de cirugía D. Felipe Martínez, que atendió á su obligación con un zelo extraordinario. Asimismo hace el comandante los mayores elogios de la constancia h…</t>
  </si>
  <si>
    <t>Bassa, Pedro Noíasco</t>
  </si>
  <si>
    <t>Pedro Noíasco Bassa</t>
  </si>
  <si>
    <t>…al, 2 sargentos, 30 cabos y soldados: Llansá, 1 oficial, 2 sar gentos, 30 cabos y soldados : D. Gabriel Feischel, capitán de cazadores de Barbastro,, inspector de estas partidas í D. Pedro Noíasco Bassa, comandan-** te agregado al regimiento de, infantería de Guadalajara, gefe de estos distritos: D. Andrés de Bassecourt, capitán del segnndo regimiento de Reales Guar dias de infantería Española , comandante de estos cantones. • ’ ' Total 40 oficiales, 76 sarg…</t>
  </si>
  <si>
    <t>Bassecourt, Andrés de</t>
  </si>
  <si>
    <t>Andrés de Bassecourt</t>
  </si>
  <si>
    <t>…tán de cazadores de Barbastro,, inspector de estas partidas í D. Pedro Noíasco Bassa, comandan-** te agregado al regimiento de, infantería de Guadalajara, gefe de estos distritos: D. Andrés de Bassecourt, capitán del segnndo regimiento de Reales Guar dias de infantería Española , comandante de estos cantones. • ’ ' Total 40 oficiales, 76 sargentos, 1152 cabos y soldados. Total general 1228* Gefe superior del cordon de sanidad , el mariscal de campo marques de…</t>
  </si>
  <si>
    <t>Basterra, Juan Joaquín de</t>
  </si>
  <si>
    <t>Juan Joaquín de Basterra</t>
  </si>
  <si>
    <t>…ores, para qué por sí Ó: por medio de' procurador, con podár básfafite ¡ se muestren parte á la declaración de herederos que se solicita por Doña Damiana Diaz de Durana , viuda de D. Juan Joaquín de Basterra, y Doña Rodriga Francisca de Basterra, madre y hermana respectiva, del D. Francisco; con apercibimiento que no lo hacíendp jen dicho término,. les parará el perjuicio que haya lugar. ; : , ! La plaza de médico de Villarubia de los Ojos de Guadiana, provincia…</t>
  </si>
  <si>
    <t>Basterra, Rodriga Francisca de</t>
  </si>
  <si>
    <t>Rodriga Francisca de Basterra</t>
  </si>
  <si>
    <t>…dio de' procurador, con podár básfafite ¡ se muestren parte á la declaración de herederos que se solicita por Doña Damiana Diaz de Durana , viuda de D. Juan Joaquín de Basterra, y Doña Rodriga Francisca de Basterra, madre y hermana respectiva, del D. Francisco; con apercibimiento que no lo hacíendp jen dicho término,. les parará el perjuicio que haya lugar. ; : , ! La plaza de médico de Villarubia de los Ojos de Guadiana, provincia de la Mam? cha, se halla vacante: su d…</t>
  </si>
  <si>
    <t>Bastida, Petra de</t>
  </si>
  <si>
    <t>Petra de Bastida</t>
  </si>
  <si>
    <t>…desea saber del paradero de D. Andrés, del Barrio , natural de Valdeerdible, provincia de Burgos , y pueblo de Polientes, hijo de D Bernardo y de Doña Catali na Ayala, casado con Doña Petra de Bastida, natural de Miranda de Ebro, en la misma provincia, sargento segundo que era en él año de 1B08 del regimiento infan tería de línea de León, del que pasó y se hallaba en 1809 en voluntarios de Monforte de Lemus de sargento primero. Fue prisionero en Mansilla d…</t>
  </si>
  <si>
    <t>Batájas, Santiago</t>
  </si>
  <si>
    <t>Santiago Batájas</t>
  </si>
  <si>
    <t>…ha maridado daf Jas gracias al comandante, oficiales y soldados que concurrieron á ésta acción; y ha concedido en nombre del Réy nuestro Señor al sargerfto del cuerpo* de Frontera D. Santiago Batájas él grado de ¿lférez dé milicias provincíalésl • ”l Madrid gó de Noviembre. : ARTICULO DE OFICIO. ^ . El Réy nuestro Señor se ha dignado nombrar patá la canóngía lectoral dé ía sarita iglesia catedral de Oaxaca á D. Manuel AritéroSánchez de Cañas; y a D Franci…</t>
  </si>
  <si>
    <t>Bausa, Manuel</t>
  </si>
  <si>
    <t>Manuel Bausa</t>
  </si>
  <si>
    <t>…tian de la Calzada,&gt; que mandaba la reserva, y desde aquel punto auxiliaba con fuerzas¡donde se necesitaban: al coronel graduado sargento mayor y comandante accidental de ja Union D. Manuel Bausa, que al tomar la altura dio disposiciones prontas para cargar al enemigo: al teniente coronel sargento mayor, y comandante ac cidental de Castilla D. Josef Tomas García, que siempre acompañó á las tro-* ' pas de su^cuerpo que cargaron al enemigo: ai teniente…</t>
  </si>
  <si>
    <t>Bautis, Juan</t>
  </si>
  <si>
    <t>Juan Bautis</t>
  </si>
  <si>
    <t>…es de Sagunto, por haber cultivado mayor número de plantas de algodón , y cogido mayor cosecha del mismo: una medalla de oro de peso de media onza, y patente de socio de mérito, á D. Juan Bautis ta Figols, cura de la parroquial de la villa de Almenara, autor de una me moria sobre desecación de dos leguas de terreno inculto pantanoso desde los confines de Murviedro hasta ios de Chilches. Fábricas: una medalla de oro de peso de una onza, y patente de s…</t>
  </si>
  <si>
    <t>Bay, Manuela del</t>
  </si>
  <si>
    <t>Manuela del Bay</t>
  </si>
  <si>
    <t>…ecimiento abintestato, y en estado de demencia, de D. Félix Mañer, vecino que fue de esta corte, de egercici® abanique ro, hijo de Ja Real casa Desamparados, que estuvo casado con Doña Manuela del Bay, y vivió calle del Cármen, núm. 2 , para que dentro del preciso término de 30 dias, que por segundo se conceden, acudan ante dicho señor juez v oficio del escribano del número D. Claudio Sanz, por medio de procurador con suficiente po der y documentos á deduc…</t>
  </si>
  <si>
    <t>Bayeu, Ramón</t>
  </si>
  <si>
    <t>Ramón Bayeu</t>
  </si>
  <si>
    <t>…España del -referido Ticiano, á 6. «^. Retrato de D. Juan Palomino, á a. —Retrato de í&gt;, Ra fael Mengs, i 2. — Trece estampas grabadas al agua fuerte, de varios pensamientos, por D. Ramón Bayeu , á iz. (4V continuará.) Nicolás Huerta, de estado casádó con Hipólita Martínez, salió en el año dé 1804 del íiigár de las Zomas, obispado de Cuenca, de donde' era vecino, con dirección al reino de Valencia en busca de trabajo,- desde‘cuya época nó ha Vuelto…</t>
  </si>
  <si>
    <t>Bazan, Alvaro de</t>
  </si>
  <si>
    <t>Alvaro de Bazan</t>
  </si>
  <si>
    <t>…laso de la Vega, D. Alonso de Ercilla, D. Pedro Calderón de la Barca, Miguel de Cervantes Saavedra, y D. Josef Patino: 4.a D. Antonio Agustín, D. Sancho Davila, D Juan de Austria, D. Alvaro de Bazan , Antonio de Nebrija, y Pedro Me»nendez de Aviles: 5.0 D. Juan de Austria, Fr. Luis de Granada, Martin de Azpilcueta, Pedro Chacón, D. Bernardino de Rebolledo, y D. Luis de Góngora. con tinuará. ) En el juzgado de la subdelegacion general de bienes Mostrencos…</t>
  </si>
  <si>
    <t>Bazan, Manuel de Arteaga y</t>
  </si>
  <si>
    <t>Manuel de Arteaga y Bazan</t>
  </si>
  <si>
    <t>…nardiño Pini y Ledos: la ración que ha quedado vacante en la catedral de Guadalajara por muerte del conde de Sta. Rosa á Don Miguel Ramírez, medio racionero, y esta media ración á D. Manuel de Arteaga y Bazan: para otra ración de la catedral de Trujillo, que ha resultado vacante por fallecimiento de D. Juan Diego Teruel, á D. Vicente Remon y S. Martin; y últimamente para una.media ración de la catedral de la Puebla de los Angeles, Vacante por muerte de D. Juan Ang…</t>
  </si>
  <si>
    <t>Bazter</t>
  </si>
  <si>
    <t>…ble se escape el prisionero, como no sea que el mismo goberna dor le saque de la mano y le ponga en un barco* Cuando partid el médico O’Meora, se empeñd Bonaparte en no recibir al doctor Bazter, que le nom braron en lugar ael primero: no le volvió á hablar el gobernador sobre esté punto, y cuando aquel fépitió sos quejas/porque le faltaba la asistencia de un facultativo, se le propuso al doctor Verling, cirujano mayor de la artillería Real, sugeto h…</t>
  </si>
  <si>
    <t>Be</t>
  </si>
  <si>
    <t>…D. Joaquín Clavareza, D Felipe Martínez, D. Florencio Pereira, D. Francisco Pumar y D. Cosme Arias. En cosmogra fía los expresados Martínez, Pumar, Alonso, Pereira, Arias, Veiga, D. Be nito Pereira, D. Josef Pujadas, D. Josef María Loureiro y D. Fermín Galceran. En navegación los referidos Martínez, Pujadas, Loureiro, Pumar y D. Benito Pereira; y en geografía los expresados Martínez, D. Benito y Don Florencio Pereira: habiendo merecido la a…</t>
  </si>
  <si>
    <t>…nda que presidió el acto, procedió al repartimiento de varios egemplares de las obras de Hugo Blair, Muratori, íriarte, Huerta, Florez y Samaniego,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t>
  </si>
  <si>
    <t>Be, Benigno</t>
  </si>
  <si>
    <t>Benigno Be</t>
  </si>
  <si>
    <t>122</t>
  </si>
  <si>
    <t>…pais se condujeron con el mayor valor y atrevimiento, habiendo rechazado á un enemigo muy superior que se lisonjeaba de destruirlos: el capitán D. Josef Rodríguez, y los tenientes D. Benigno Be raza y D. Mariano Lozcos se dis tinguieron por su osadía y la serenidad con que llevaron sus soldados al combate , por cuya razón los recomiendo particularmente á la consideración de V. E- por si se digna poner esta acción en conocimiento de S. M. ,,Dros guar…</t>
  </si>
  <si>
    <t>Be, Juan Nepomuceno</t>
  </si>
  <si>
    <t>Juan Nepomuceno Be</t>
  </si>
  <si>
    <t>…Esteban de dEehezuria 20, D. Bernardo Pénelas 20, T). Antonio Na;yarro 20, D. 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 Rafael Minteguiaga 15, D. Ramón Go mia 10, D. Josef Ramón Zozalla 2, D-&gt; Jaime Mas 8,…</t>
  </si>
  <si>
    <t>Beatriz</t>
  </si>
  <si>
    <t>bre que se áuncfaroii tos dos patronato* mandados fundar por ; &amp;oña Juana Caldera Freile, hija de la Doña Beatriz ¿ eñ el convento de Sta. Clara de esta corteé y á cu-1 yo goce y obtención de dichos patronatos está reservado igualmente el derecho por la sentencia de la chancillería » á los que 1c puedan tener mejor que Doña Josefa Gabriela Valdearenas. Por providencia de…</t>
  </si>
  <si>
    <t>Becerra, Josef Antonio</t>
  </si>
  <si>
    <t>Josef Antonio Becerra</t>
  </si>
  <si>
    <t>…2 del corriente cuando trataron de fugarse del cerro de S. Gregorio, nombrado por dichos rebeldes fuerte de los Remedios. Prisioneros: los titulados teniente general Manuel Muñiz, brigadier Josef Antonio Becerra, coronel gefe de estado mayor Diego Novoa, comandante general de provincia presbítero Manuel Ximenez deí Rio, comandantes Flo rencio Dueñas y Juan Nepomuceno Alvarez, capitán de granaderos Jbséf Ma riano Noriega, capitanes Félix Franco, Josef Antonio Escantil…</t>
  </si>
  <si>
    <t>Becerra, Mariano</t>
  </si>
  <si>
    <t>Mariano Becerra</t>
  </si>
  <si>
    <t>…S. Luis: capitán graduado de teniente coronel D. Ni colás Zarzosa; teniente graduado D. Patricio Gutiérrez. Nueva-^Galicia : ca-, piran graduado D. Mariano González Laris; alférez D. Mariano Becerra. Realistas de Apan: capitanes D. Joaquín Espinosa y D. Josef Ortiz; tenien tes D. Isidro Espinosa y D. Josef Castillo , y alférez D. Rafael Salinas. ,, Asimismo mis ayudantes de campo capitán de Zaragoza D. Pedro Gar^, cía Paredes, de fieles del Potosí, capit…</t>
  </si>
  <si>
    <t>Bedoya, Juan Manuel de</t>
  </si>
  <si>
    <t>Juan Manuel de Bedoya</t>
  </si>
  <si>
    <t>…de, la Sta. Iglesia de Roma , obispo jde ^Orense, que en las exequias que celebro su familia en la catedral de dicha ciudad? el,dut 15 de. Abril- pe éste presente año dijo el Dr. D. Juan Manuel de Bedoya, canónigo cardenal de di cha santa iglesia de Orense. En esta oración se refiere la egemplar vida y muerte de éste dignísimo prelado, cuyas eminentes virtudes, bien conocidas en todo, el orbe ca tólico/haii héchcTtan sensible su falta, y harán eterna su memor…</t>
  </si>
  <si>
    <t>Bedoya, Ramón</t>
  </si>
  <si>
    <t>Ramón Bedoya</t>
  </si>
  <si>
    <t>109</t>
  </si>
  <si>
    <t>…lo sión de un repuesto de municiones, en el cual volaron algunos malvados, y .acabó de poner en confusión el resto al momento mismo que las tropas iban á asaltar el parapeto. ,,Ei capitán D. Ramón Bedoya, ayudante del brigadier Canterac, que .había venido por la parte opuesta del cerro con dos compañías, fue el pri mero que entró en el fuerte, recibiendo una gran contusión en el pecho de una pedrada, y dió pruebas en varías ocasiones de este dia del valor que…</t>
  </si>
  <si>
    <t>…o 30 drago nes dieron ¿150 caballos y un destacamento de infantería , en que acuchi llaron mas de 100 hombres; no siendo menos digno de mención el muy bi zarro capitán de lanceros D. Ramón Bedoya , que en todos los peligros es el primero. „Pido á V. E. eleve á la noticia de S. M. el mérito que ha contraído el capitán de fragata D. Josef María Chacón, comandante de las fuerzas nava les, quien á pesar de hallarse enfermo ha trabajado incesantemente en a…</t>
  </si>
  <si>
    <t>…ente el enemigo, y el brigadier Canterac dispuso que las compañías de cazadores y primera de Navarra, y la de cazadores de Burgos marchase á las órdenes de su ayudante de campo el capitán D. Ramón Bedoya, y le atacasen decididamente, logrando de este modo que ios rebeldes se retirasen por la orilla del mar á guarecerse de sus puntos fortificados. ,,Observando el brigadier D. Josef Canterac que la caballería enemiga ocu paba sobre un flanco derecho una posició…</t>
  </si>
  <si>
    <t>Bedoya, Ramón de</t>
  </si>
  <si>
    <t>Ramón de Bedoya</t>
  </si>
  <si>
    <t>…imiento de la Union D. Juan Francisco Mendivil, que con su cuerpo se portó con mucho ánimo en esta ocasión, asi como el capitán del mismo D. Joaquín Dalmau. El capitán de lanceros D. Ramón de Bedoya, ayudante de campo del brigadier Canterac, se apoderó con la compañía de cazadores de Burgos dos veces de una casa aspillerada que defendieron los rebeldes, habiéndoles en ella matado mucha gente. Fue herido en la rodilla de poca consideración, y se señaló es…</t>
  </si>
  <si>
    <t>Bei, Marcial</t>
  </si>
  <si>
    <t>Marcial Bei</t>
  </si>
  <si>
    <t>…Zozalla 2, D-&gt; Jaime Mas 8, D. Martin de Irrgo•yen 8 , D.; Juan:.Gcrd.il.' d, D¿ tMiguel Antonio Oyarzabal 6 , D. Joaquín/ Emazabei 4, D. Antonio Delgado 4 , D. Vicente.Sarria 4, D. Marcial Bei*7 mudez 4, D. Joaquín Reina y Capetilío 8, D. Francisco Espar 6, D. Fran cisco Ríos i , Sr. marques dy Mijares 2 , D. Lorenzo Solórzano 10, D. Pe dro Josef Solórzano 16, DvJuan; Jósef Echezuria y Echeverría 6 &gt; D. Pablo Gascue ■*, D. Manuel Manrique y Sierra…</t>
  </si>
  <si>
    <t>Beistegui, Miguel</t>
  </si>
  <si>
    <t>Miguel Beistegui</t>
  </si>
  <si>
    <t>521</t>
  </si>
  <si>
    <t>…ó del Plan al principio del combate, mandada-por el infatigable teniente córoíiel graduado D. Anastasio Bu'tamante, encargando un fuerte trozo al espi tan de dragones de S. Carlos D. Miguel Beistegui para qué obrase separado, según las instrucciones que dio el coronel D. Francisco de Orraotía , la cual tuvo: que caminar toda la noche por fuera de las encrespadas montañas que circunvalan el fuerte de los Remedios para llegar á tomar las JUnaras de Pún janl…</t>
  </si>
  <si>
    <t>Beitia, Fermín Castillo</t>
  </si>
  <si>
    <t>Fermín Castillo Beitia</t>
  </si>
  <si>
    <t>…, D. Josef Lgnacio Casas 8, Doña María Josefa Blanco y herma-, na 2 , D. Juan Vicente Arévalo 2 , D. Sebastian Fernandez de León 6, Don Pedro Bahamonde 4, D. Siiverio Galarraga 2, D. Fermín Castillo Beitia y hermanos 4 , D. Ignacio Diaz 2, Doña Josefa Solórzano 1, el presbítero Dorr Josef Gregorio Avila 1, D. Josef Navas 2, Sra. marquesa de Casa León iof Total 683 pesos y 4 reales. Pamplona 27 de Agosto. En los dias 19 y 22 de Junio último se celebraron en esta…</t>
  </si>
  <si>
    <t>Beiútéz, Felijfe</t>
  </si>
  <si>
    <t>Felijfe Beiútéz</t>
  </si>
  <si>
    <t>…intervención y audiencia. , ! i _ 1 Por auto que proveyó el señor alcalde ordinario de segunda nominación, en la ciudad de Guatemala el 2 de Enero dé ¿818 , aplicó-a los hijos de D. Felijfe Beiútéz úrf legado de 809 pesos , que dejó D. Luís Bernardo Acetuno en su disposición testamentaria, á favor del descendiente ó descendientes legítimos mas necesitados de £&gt;. ‘Francisco Beifitez’, vécinó que fue de la misma ciudad, bajo defianza, para que Si feñ el t…</t>
  </si>
  <si>
    <t>Belda, Josef</t>
  </si>
  <si>
    <t>Josef Belda</t>
  </si>
  <si>
    <t>…eros., D* Manuel Pose, alférez del Real cuerpo de&lt;ii*± genieros ae la Armada, D. Angel Calderón de la! Barca, D. Manuel Domingo de Urquiza, D. Francisco García, D. Antonio Castro, D. Josef Belda, D. Jo sef Casado, y D. Luis Cifuentes, oyente. u ó Los examinadores nombrados por S. Ar R. fueron los1 Srés. D. Tgnacid Jáuregui, primer médico de CámaradeS.M.; D. «Agustín Mestre * boticario! mayor; D. Andrés Alcon, catedrático, de química del Real colegio.…</t>
  </si>
  <si>
    <t>Beldrof, Luis</t>
  </si>
  <si>
    <t>Luis Beldrof</t>
  </si>
  <si>
    <t>…e! Redi guarda-muebles de S. M. con uno de los candeleros que había sobre dicha mesa. Había ademas prevenida otra, lía cual puso delante de SS. MM. el Rey v Reina nuestros Señores D. Luis Beldrof, aposentador honorario de pa lacio , con un ayuda del Real guarda-muebles, y firmaron SS. MM. la men cionada escritura matrimonial, ejk f&amp;xexp D. Juan Miguel deGri-</t>
  </si>
  <si>
    <t>Belfast</t>
  </si>
  <si>
    <t>…te de S. M. el Rey. dé Prusia; Mr. Macreschal, gentilhombre del Emperador, de Austria; el príncipe de Latour-Ííaxis 5 los coroneles.Klausewitz y Block; lord Eduardo Cbichester; el conde Belfast; la; princesa de; Latour-Taxis; el barón Alfonso de Pont, gentilhombre del Emperador de Austria; los tenientes generaíes Boyer, Muffling, Knesebeck y Thielman; el general Czernicheff, ayudante del Empera-* dor de Rusia; el general LewaschofF, ayudante del mis…</t>
  </si>
  <si>
    <t>Belmore</t>
  </si>
  <si>
    <t>…barcaron para Said, la antigua Sidon , y encontraron al in térprete de madama Hester-Stanhope, que los esperaba para conducirlos á Ja residencia de aquella señora. La comitiva del lord Belmore y su muger se componía de sus hijos, de un preceptor, de un médico y de varios criados. Su proyecto era visitar á Jerusalen; pero tuvieron que desistir de él por no haber en toda la costa de Siria un puerto seguro para conservar su buque. En Siria se dieron e…</t>
  </si>
  <si>
    <t>…aquel lord. Estos viageros se pusieron ya en camino para subir el Ni!o, y la expedición p &gt;drá concluirse en el mes de Marzo próximo. Los sabios volverán entonces á In glaterra, y lord Belmore irá por tierra á Palestina, pasando por el istmo de Suez. Idem g. La escuadra rusa que se halla en Spithead se compone de los buques si guientes: el Dresden, de 74 cañones, que monta el contra-almirante Mo11er, mandado por el capitán Ternepsky; el Norte Adier…</t>
  </si>
  <si>
    <t>Bélvederífue</t>
  </si>
  <si>
    <t>…s de Cádiz, y posteriormente én:ei regimiento de Burgos, de que era granadero de la segunda compañía ; y aunque se dice que en la batalla que junto á Burgos díó á los franceses el general Bélvederífue muerto , no obstante se desea saber si en efecto sucedió asi ó existe, para en este caso comunicarle noticias que le son muy interesantes. La persona que las tenga de él se servirá avisarlo en el almacén de la imprenta Real. - Real .decreto para el establecim…</t>
  </si>
  <si>
    <t>Bemarr</t>
  </si>
  <si>
    <t>…i A J), JosefrtMaríf Monserrafe^D* Josef, María Mu A Josef Ramo» ro 2, D. Esteban de Ponte í^anciscq^Sosajarrera j Zúlüeta i, 13. Miguel Salzaineridf5’,* D. Bernardo Butragueño 3, D. Bemarr?</t>
  </si>
  <si>
    <t>Benaprés, Joaquín</t>
  </si>
  <si>
    <t>Joaquín Benaprés</t>
  </si>
  <si>
    <t>Gaceta de Madrid n.º 131</t>
  </si>
  <si>
    <t>…sta esto dia, 43. Total general 28378. ARTICULO DE OFICIO. Por Real resolución de 12 del presente mes, á consulta del Consejo su premo de la Guerra, se ha servido S. M. conceder á D. Joaquín Benaprés, avecindado en la villa de Villanueva y Geltrú, el fuero militar y liso de uni forme de practicante de farmacia, en premio de los servicios que ha hecho en las boticas militares de campaña; declarando al mismo tiempo le ha sido muy grata á S. M. la cesión que…</t>
  </si>
  <si>
    <t>Benavides, Antonio</t>
  </si>
  <si>
    <t>Antonio Benavides</t>
  </si>
  <si>
    <t>…ndera. . . Madrid 18 de Febrero. ■« * ' » ARTICULO DE OFICIO. El Rey nuestro Señor se ha servido nombrar para fiscal militar del Con sejo supremo de la Guerra al mariscal de campo D. Antonio Benavides , co-, tonel del Real cuerpo de Ingenieros. Por Real Tesolucion de 27 del presente mes, á consulta del Consejo su premo de la Guerra, se ha servido S. M. conceder á D, Josef Masip, prac ticante primero de cirugía que fue en la última campaña., y actualmente v…</t>
  </si>
  <si>
    <t>Benavides, Josef Mariano</t>
  </si>
  <si>
    <t>Josef Mariano Benavides</t>
  </si>
  <si>
    <t>1239 Parte del comandante de Polaca. ,, Excmo Sr.: Para no retardar á V. E. la lisonjera noticia de la toma de Zacatula, que el comandante militar del punto de Cuatepec D. Josef Mariano Benavides me comunica en oficio de 4 del corriente, y se acredita por el plie go que dirige á sus superiores manos el comandante de la sección de Zacualpan, que es adjunto, he procurado su pronta remesa, y doy á V* E. los mas sinceros y expresivos parabienes por este t…</t>
  </si>
  <si>
    <t>Benavides, Vicente</t>
  </si>
  <si>
    <t>Vicente Benavides</t>
  </si>
  <si>
    <t>…nzueta y D. F rancisco Despot: el ayudante D. Aniceto Valverdet los tenientes Don Juan Ruiz Ordoñez., D. Vicente González y D. Antonio Henriquez: los sub tenientes D. Diego Duran, D. Vicente Benavides y D. Tomas Calvo: el ca pitán D. Manuel Pinuer; y el subteniente D. Josef Ugarte. ,,Ultimamente concluyo con demostrar el mayor -sentimiento por la muerte del esforzado subteniente de infantería de Concepción D. Alejo Da-* rae y Vilches, joven de una disposición , conducta y…</t>
  </si>
  <si>
    <t>Bencomo, Cristóbal</t>
  </si>
  <si>
    <t>Cristóbal Bencomo</t>
  </si>
  <si>
    <t>…de Carlos m; el cardenal patriarca de las Indias , gran canciller deja 'expresada orden, y vice-presidente de la asamblea suprema de la Real orden americana de Isabel,la Católica; D. Cristóbal Bencomo* arzobispo’ de Héra*clea, gran cruz de la Real distinguida orden de Carlos nr, confesor del Rey nuestro Señor; el obispo de Gerona, electo de Záma, confesor de la REiNA nuestra Señora ; el duque del Infantado , coronel del regimiento primera Re Reales guardia…</t>
  </si>
  <si>
    <t>Gaceta de Madrid n.º 142</t>
  </si>
  <si>
    <t>1183</t>
  </si>
  <si>
    <t>…18. = Josef d$ maz. =: Sres. directores generales de Rentas.”f El domingo ^i;de Octubre ultimo fue consagrado arzobispo de Heraclea £n la Real capilla de Palacio el Excmo. é limo. Sr. D. Cristóbal Bencomo, confesor del Rey nuestro Señor, gran cruz de Carlos ni, maestro que ha sido de $. M. y de los Sernos. Sres. Infantes; siendo el prelado consagrante el Emo. y Excmo. Sr. D. Luis de Borbon, cardenal de Scala, arzobispo de Toledo, y asistentes el Excmo. é limo.…</t>
  </si>
  <si>
    <t>Bencomo, Santiago Josef</t>
  </si>
  <si>
    <t>Santiago Josef Bencomo</t>
  </si>
  <si>
    <t>…ostanilla de capuchinos de la Paciencia, núm. 23, manz. 304, tiene de sitio 4© pies, igual car ga que la anterior, y su valor 510^ rs. Sermones panegíricos predicados por el limó. Sr. D. Santiago Josef Bencomo, obispó de Astorga. En estos sermones sobre las principales festividades de la Iglesia, y sobre varios santos y' santas, se advierte principalmente el buen uso de la sagrada Escritura y dé los santos Padres; la fuerza y energía de las razones, la pureza del l…</t>
  </si>
  <si>
    <t>…la de Sierra y Martí: su precio 72 rs. en pasta y 60 á lá rústica. .Via crucís ó meditaciones sobre la pasión de nuestro Señor Jesucristo, sacadas del santo Evangelio por el limo. Sr. D. Santiago Josef Bencomo, obispo de Astorga. Se hallará en la imprenta de Dávila, calle ae Barrionuevo, y en las librerías de So jo, calle de las Carretas, y de Villa, plazuela de Sto. Domingo: su precio un real, y llevando por docenas se hará gracia. EN LA IMPRENTA REAL.</t>
  </si>
  <si>
    <t>Benedicta, María Francisca</t>
  </si>
  <si>
    <t>María Francisca Benedicta</t>
  </si>
  <si>
    <t>…plaza ■y de todos los buques. El dia siguiente á las 11 de la mañana salió del Real palacio la Reina nuestra Señora, acompañada de las Sermas. Sras. Princesas Doña Marta Te resa y Doña María Francisca Benedicta, é Infantas Doña. Isabel María y demas, y en medio del mas lucido y pomposo séquito se trasladó al Real arsenal de marina, al que concurrió poco después el Rey nuestro Señor, que en medio también del acompañamiento de los Grandes y de toda su servidumr bre, y…</t>
  </si>
  <si>
    <t>Beneitorpara, Joaquin Beneito y</t>
  </si>
  <si>
    <t>Joaquin Beneito y Beneitorpara</t>
  </si>
  <si>
    <t>…Manuel Prudencio Sobrino: para la de las Nuevas poblaciones de Sierramorena, su capital la Carolina, á D. Félix Andrés Benitez Martínez, alcalde mayor de Leganés: para esta vara á D. Joaquin Beneito y Beneitorpara la de Sta. Cruz de Múdela á D. Josef Maceda : para la dé Mansiila de las Muías á D. Tiburcio Eguiluz : para la de Belalcázar á D. Juan Maríá Domínguez: para la del Viso, en la Mancha , á D. Josef París y Romero : para! ia de Villafranca del Vierzo á D. Josef…</t>
  </si>
  <si>
    <t>Benhead</t>
  </si>
  <si>
    <t>150</t>
  </si>
  <si>
    <t>…particular, que dejará cuando se disuelva. GRAN BRETAÑA. Londres 20 de Enero. La isla Amelia estará ya probablemente en poder de los anglo-america nos. A mediados de Diciembre el coronel Benhead concentraba sus tropas</t>
  </si>
  <si>
    <t>Beningsen</t>
  </si>
  <si>
    <t>…zareto y un acueducto, dando ade mas su permiso para que los buques de la armada Real traigan de la Cri mea la piedra necesaria, porque en estas inmediaciones no hay" canteras. El general Beningsen ha necho dimisión de sus destinos en atención á su avanzada edad, y piensa restituirse á Hannover, de donde es natural. PRUSIA. Koentgsberg 28 de Mayo. El feíd-mariscaí Barclai deTolli, que.se había puesto en camino para res tablecer su salud á beneficio de l…</t>
  </si>
  <si>
    <t>Benirez, Josef Ventura</t>
  </si>
  <si>
    <t>Josef Ventura Benirez</t>
  </si>
  <si>
    <t>…ellos dos geres, y cogerles 150 prisioneros con 80 fusiles. De nuestra parte no ha habido más desgracia que la de dos muertos y seis heridos, entre estos el subteniente de Navarra D. Josef Ventura Benirez, que lo fue de un balazo, y á pesar de ser de alguna consideración continuó en su compañía, presentándome dos prisioneros que había cogido. Todos los gefes y oficiales se esmeraroh^en cumplir con su deber; pero yo faltaría al mió si dejase de recomendar á V.…</t>
  </si>
  <si>
    <t>Benito</t>
  </si>
  <si>
    <t>…al con el objeto de hacer descubri mientos, ha llegado á Por tsmouth, de donde saldra prontamente para Crons— tadt en Rusia. Aun np se sabe el resultado de sus viages. ESPAÑA. ' ( Don Benito 22 de Junio. El profesor de latinidad y retórica de esta villa D. Rufino de la Peña y Arias, individuo de la Real academia latina, obtenida la venia del ayunta miento , y de acuerdo del alcalde mayor por $. M. de la misma D. Eusebio Alaría ¿ampie, celebró exá…</t>
  </si>
  <si>
    <t>…Pujadas, D. Josef María Loureiro y D. Fermín Galceran. En navegación los referidos Martínez, Pujadas, Loureiro, Pumar y D. Benito Pereira; y en geografía los expresados Martínez, D. Benito y Don Florencio Pereira: habiendo merecido la aplicación de todos y sus adelanta mientos, no solo en las materias sobre que fueron examinados , sino también por varios dibujos que han presentado, y representaban edificios, vistas de países y planos de puertos, un aprecio muy particu…</t>
  </si>
  <si>
    <t>Benito, Juan de</t>
  </si>
  <si>
    <t>Juan de Benito</t>
  </si>
  <si>
    <t>…gimiento de Artillería: en la de Tortósa, por!fallecimiento de D. Juan Peña, á D. Francisco Soler, capellán del regimiento de caballería de España: en la de Segovja, por muefte dé D. Juan de Benito, á Di Juan Antonio Jordán, capellán del regimien to de caballería de Borbon: eñ la de Lérida, por la dé D. Josef Villar Gorozabel, á D. Lorenzo -Leris, capellán que fue del primer escuadrón de arti llería volante; y en la de Tarazona, por fallecimiento de D.…</t>
  </si>
  <si>
    <t>Bennigsen</t>
  </si>
  <si>
    <t>…general de Satárokonstantinow el 22 de Abril (4 de Mayo) de 1818.’* - •' : ■ ;-* ‘Ukdseral senado directivo. • ..... -■ 2. b &lt; ,, Habiéndonos-tnanifekado elígenerai de- caballería conde Bennigsen su d@d seo de obtener el-retitcf^áfldfiasa£jde3s¿ Quebrantada/salud y le/her4os admitido* la dimisión del caígobdei'Comandante¿eif gefe déD segundo !egéíci to?y ctmseb-í vándole el mismo sueldo de que h!a gozado hasta ahora. En consecuencia he-4 mos nombrado…</t>
  </si>
  <si>
    <t>Benú, Juan Bautista</t>
  </si>
  <si>
    <t>Juan Bautista Benú</t>
  </si>
  <si>
    <t>1286</t>
  </si>
  <si>
    <t>…ice-director 50 rs. vn. á cada uno á mas de los 320 rs. vn. que había deliberado la sociedad se dis tribuyeran entre los mas aplicados de dicha casa. Ultimamente el niño pre*miado D. Juan Bautista Benú di jó un discurso sobre la buena educación. Concluido todo esto, el R. P. Lorenzo de S. Blas, vice-rector del colegio dé"* las escuelas Pías, socio honorario, recitó una canción en elogio del zelo de4 la sociedad en desempeñar su noble instituto, y bienes que…</t>
  </si>
  <si>
    <t>Beramendi, Antonio</t>
  </si>
  <si>
    <t>Antonio Beramendi</t>
  </si>
  <si>
    <t>…que. tanto estos in teresados , como todos los demas .que.téngan r semejantes, derechos*, apudgn á la primera secretaría de Estado y del Despacho, ó al cónsul de S. M.* en Ge nova D. Antonio Beramendi, con los documentos necesarios para reclamar dichos fondos; en la inteligencia He que* aquel Gobierno tiene prefijado un tér mino para estos recursos , interesa la brevedad. , A ♦ ,? r\ - • •* V? '&lt;■ - -J : Q» l.l) Por él juzgado'del corregidor dé Moliriá de…</t>
  </si>
  <si>
    <t>Beraza, Francisco</t>
  </si>
  <si>
    <t>Francisco Beraza</t>
  </si>
  <si>
    <t>…castillo de Torremolinos, en la costa de Granada, al capitán D. Eladio Loarte, tenien te de la compañía fija del Peñón; y la ayudantía del de Murviedro, en el reino de Valencia, á D. Francisco Beraza, ayudante del regimiento de ca ballería de Calatrava. En América. El gobierno militar y político de la provincia de CostaRica al teniente coronel D. Bernardo Vallarino, y la comandancia del cas tillo de Omoa al teniente coronel D. Pedro Gutiérrez, ambos en el…</t>
  </si>
  <si>
    <t>Beresford</t>
  </si>
  <si>
    <t>664</t>
  </si>
  <si>
    <t>…er se publicó el edicto siguiente: ,, Cuartel general del Pateo de Saldaña 20 de Junio de 1818. OP.DEN DEL DIA. ,, El limo, y Excmo. Sr. mariscal general marques de Campomayor (el mariscal Beresford) hace saber al egércíto que SS. EE. los Sres. gober nadores del reino le han concedido licencia para ir á Inglaterra, y mandan los mismos señores que durante la ausencia del señor mariscal general quede encargado del mando interino del egército el Excmo. Sr.…</t>
  </si>
  <si>
    <t>Berésford</t>
  </si>
  <si>
    <t>…rá á S. M. I. luego que regrese.* ‘ GRAN BRETAÑA. Londres jo de Julio. ‘ Ayer corrían voces' de que los ministros trataban de juntar el parlamento en todo el mes próximo. • . ¡ El mariscal Berésford ha llegado á esta capital en el paquebote el Príncipe Ernesto. v Se dice que el Gobierno ha pedido al comercio buques de trasporte para conducir dentro de cierto tiempo' á este país las tropas , artillería y bagages del cuerpo de egércitó ingles qíie está en…</t>
  </si>
  <si>
    <t>Bergenstrale</t>
  </si>
  <si>
    <t>…arís; y para anunciarlo á la corte de Francia se ha dado orden á Mr. D’Ohson, quien se halla de ministro de Suecia en la corte de los Países-Bajos, que pase á aquella capital. fsl*general Bergenstrale va á Berlín; el coronel Clairfeldz ha pasado á Copenhague, y el general conde de Lovenhfelm debe ir á Petersburgo para hacer igual comunicación. Los Estados del reino, la guarnición y el cuerpo de oficiales han-prestado, el juramento, é igualmente han sido ll…</t>
  </si>
  <si>
    <t>Berguillos, Vicente</t>
  </si>
  <si>
    <t>Vicente Berguillos</t>
  </si>
  <si>
    <t>…l Antonio Ruiz, D. Pedro Pineda, P, Fr. FráiicismReve na y Fr. Joaquín López, dé observantes de S. Francisco, con título de «ocios* de mérito a estos dos religiosos, y el último á D. Vicente Berguillos. Los dos premios de 50 rs. vn. el uno y de 20 el otro para los dos discí pulos mas adelantados en la caligrafía; otro de60 para el mas instruido en la cartilla de agricultura compuesta por D. Antonio Sandalio de Arias, de la que habia repartido la sociedad mu…</t>
  </si>
  <si>
    <t>Bermudez, Francisco</t>
  </si>
  <si>
    <t>Francisco Bermudez</t>
  </si>
  <si>
    <t>…sages á &gt;. Ildefonso de la Cruz, teniente del regimiento de infantería de Extremaduf ra , al teniente coronel D. Andrés Caamaño, capitán del regimiento de infan tería de Jaén, y á D. Francisco Bermudez, teniente del de B.irboq. En América. El gobierno de los Llanos, en el NuevoReino de Granada, ál teniente coronel D. Juan Vicente de Salazar , secretario del gobierno y ca¿ pitanía general de Puerto Rico; y el de Tejas, en las provincias internas de Nueva-Esp…</t>
  </si>
  <si>
    <t>Bermudez, Francisco de Paula</t>
  </si>
  <si>
    <t>Francisco de Paula Bermudez</t>
  </si>
  <si>
    <t>…de Polleriza, en Mallorca, al alférez D. Pedro Alberty, guardia de la Real compañía de Alabarderos. Noticioso el Rey nuestro Señor de que el comisario ordenador graduado de marina D. Francisco de Paula Bermudez hizo cesión, durante la última guerra con la Francia, á favor del Real erario de los alquileres de 144 pe sos anuales que le pagaba la Real Hacienda por una casa de su propiedad que tiene en el apostadero de S. Blas; se ha servido S. M. mandar que á Bermu dez…</t>
  </si>
  <si>
    <t>Bermudez, Tomas</t>
  </si>
  <si>
    <t>Tomas Bermudez</t>
  </si>
  <si>
    <t>…uerto-Llano D. Car los Martin del Romeral en esta corte calle de Atocha, pasadizo de la fon da , cuarto principal; el de Tiermas D. Antonio Turbica en Villel de Mesa; el del Molar D. Tomas Bermudez en Madrid, calle de las Huertas, frente á la del Lobo, núm. 9, cuarto bajo; el de Trillo D» Josef María Brull, calle del Olivo bajo , cuarto 3.0, frente ála lotería ; el jde AIcantud D. Atanasio Herrainz en la villa de Gascueña; el de Alange D. Josef Alegre G…</t>
  </si>
  <si>
    <t>Bernal, Francisco Osorio y</t>
  </si>
  <si>
    <t>Francisco Osorio y Bernal</t>
  </si>
  <si>
    <t>…ona; D. Josef XJrbina y Daoiz ; D. Josef Sola y del Castillo ; D. Pedro Villar y Abello \ Don Diego Fernandez Carcelen; D. Antonio Lardin y Pinto; D. Antonio Fer* nandez Carcelen; D. Francisco Osorio y Bernal; D. Manuel Marín y Ra mos; D. Juan López y Martínez, y D. Mariano dé la Vega y Romero. Quien quisiere comprar una casa sita eñ el lugar de Fuencarral, y calle que lia— man dé'Juan Pardo , que tiene de sitio *887^ pies cuadrados superficiales, tasada últimamen…</t>
  </si>
  <si>
    <t>Bernarda</t>
  </si>
  <si>
    <t>…e Admazan , del Consejo de S. M , teniente de corregidor de esta muy heroica villa. Las personas que quieran hacer postura ac udan ante dicho señor juez y escribanía del número de D. Bernarda</t>
  </si>
  <si>
    <t>Bernardo</t>
  </si>
  <si>
    <t>…s compañías de cazadores de Extremadura, tres de Gerona, y los destacamentos de caballería que lleva ban la cabeza, al mando del teniente coronel segundo ayudante general de E. M. D. Bernardo de la Torre, con la orden de nó detener un momento la marcha,. fueron sucesivamente y leguas enteras á carrera abierta desalojando á los enemigos con la mayor intrepidez de todas sus posiciones, y antes de las dos de la tarde ya estaban sobre la entrada de la…</t>
  </si>
  <si>
    <t>876</t>
  </si>
  <si>
    <t>…odríguez de Ribera, del Consejo de S. M., su oidor en la Real audiencia de Sevilla, y juez de lo civil de la ciudad de Cádiz, y presen cia del escribano publico del numero de ella D. Bernardo de la Calle, en 4 del cor riente mes se ha mandado la subasta de cuatro casas-solares, correspondientes á la misma testamentaría , situadas en la villa de Puerto-Real, apreciadas por los alarifes de aquel pueblo en la cantidad total de 115 t8i rs. vn,; fijánd…</t>
  </si>
  <si>
    <t>…andez de los Ríos, del Consejo de S* M.&gt; teniente corregidor de esta muy heroica villa, ante el escribano de su numero ¡D. Juan Raya. Se desea saber el paradero del maestro armero D. Bernardo .García Consuegra, que en el ano de 1813 se hallaba en Cartagena. Si alguna persona tuviese noticia de él se servirá avisarlo en la imprenta Real.</t>
  </si>
  <si>
    <t>BernstorfF, Cristiano</t>
  </si>
  <si>
    <t>Cristiano BernstorfF</t>
  </si>
  <si>
    <t>1</t>
  </si>
  <si>
    <t>…de las deudas antiguas del Estado. ., , ■ ro •-"'.tV-. O =' "V ';i: PRUSlA. .■ ; • r., • s ‘ ; - ■ ■ , ■, ? ’ . . . ■ , y, y ■ . .... . ..... Berlín i.° de Setiembre,• , . /; _ El conde Cristiano BernstorfF, que acaba de entrar al servicio de nuestra corte, se halla en el día en sus estados de Dreylutzow, en el pais de Meeklemburgo,,.desde donde.se dice qué irá.á Aquisgran. ......... . .. . ■</t>
  </si>
  <si>
    <t>Bertendona, Narciso Ár'espacochaga y</t>
  </si>
  <si>
    <t>Narciso Ár'espacochaga y Bertendona</t>
  </si>
  <si>
    <t>…D. .Antonio Ter-^ jrero y Díaz; D. Mariano Salas y Azara; D. Francisco Lavalette y Rada; D. Rafael Suarez y Ceuti; D. Josef María Nuñez y Fernandez ; D. Josef Villamil y Uriarte; D. Narciso Ár'espacochaga y Bertendona; D. Josef XJrbina y Daoiz ; D. Josef Sola y del Castillo ; D. Pedro Villar y Abello \ Don Diego Fernandez Carcelen; D. Antonio Lardin y Pinto; D. Antonio Fer* nandez Carcelen; D. Francisco Osorio y Bernal; D. Manuel Marín y Ra mos; D. Juan López y Martínez, y…</t>
  </si>
  <si>
    <t>Bertholet</t>
  </si>
  <si>
    <t>…ado mürtó en esta capitáf á -íós jó años de edad’ Mi?. Ménge, ministro que íue dé Marina, y uno de.dog mas profundos.^geqmqtras de Fran cia. Ayer se celebraron sus exequias, y-el -conde Bertholet , par de Frauda, pronunció su elogió fúnebre. • — q . jl .</t>
  </si>
  <si>
    <t>Betancour</t>
  </si>
  <si>
    <t>il resto del edificio, nombrando para este efecto una comisión presidida por1 el actual consejero privado conde de Golowiri, y compuesta del príncipe Ale jandro Galiitzin y del general Betancour¿ y señalando para los gastos de es te año 50© rublos. • Idem 28. El 19 del corriente el feld- mariscal Barclay de Tolly salió de su cuartel general de Mohilew para ir á tomar baños , y ver si logra alivio en los acha ques que padece de resultas de las muchas…</t>
  </si>
  <si>
    <t>Beuif, Esteban</t>
  </si>
  <si>
    <t>Esteban Beuif</t>
  </si>
  <si>
    <t>…us nombres y apellidos , que son: O. Josef Muñoz de Pando D Fe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 previniéndoles que de no acu dir les parará el perjuicio que haya lugar. Quien supiere el parader…</t>
  </si>
  <si>
    <t>Beyens</t>
  </si>
  <si>
    <t>Gaceta de Madrid n.º 100</t>
  </si>
  <si>
    <t>846</t>
  </si>
  <si>
    <t>…or del periódico intitulado Diario de la Fldndes oriental y occidental j y después de cuatro horas, en que los señores Tarte el* mayor y Busscher por el duque de W eiiington, y el señor Beyens por el editor del periódico, procuraron cada cual por su parte defender los derechos de sus clientes, el tribunal anuló la sentencia del tribunal de Gante, declarando que el artículo inserto contra el duque era ca lumnioso. En. virtud de esto, y conforme á lo…</t>
  </si>
  <si>
    <t>Billard</t>
  </si>
  <si>
    <t>…mo Bonaparte ha. pedido permiso para ir i Trieste; pero que no se le ha concedido porque faltó á su palabra de hoñor en 1814 cuando se hallaba en aquel puerto. El buque Actividad, capitán Billard, acaba de llegar de la Martinica al Havra. Este barco , después de haber sufrido, el terrible temporal de 2 1 de Octubre ,pudo llegarel 29 al apostadero de S.Pedro,de donde salió el-30 de Noviembre. El huracán hizo desaparecer totalmente la epidemia que reina…</t>
  </si>
  <si>
    <t>Biosterna</t>
  </si>
  <si>
    <t>…icia para que declare en orden.á ias presas hechas el año próximo pasado cuando se guarnecían las costas para evitar el contra* bando. También se trató de examinar la conducta del general Biosterna en orden al vestuario de los reclutas; pero la comisión ha declarado que no había mo tivo para admitir la acusación que de él se hizo. ITALIA* Ñapóles 22 de Abril. En estos dias se ha pasado aquí revista general á las tropas, que aseen* dian á 10700 hombres,…</t>
  </si>
  <si>
    <t>Biptns</t>
  </si>
  <si>
    <t>Real y del general Biptns|iern simulacros y evoluciones en grande. Después de esto todos los regimientos se volverán á las provincias en donde por lo co mún están de guarnición. ~ . ¿El -13 del;pásado propuso S. M. en la Dieta de Noruega dos leyes, con cerniente'la uíía á la conservac…</t>
  </si>
  <si>
    <t>Bjorsterna</t>
  </si>
  <si>
    <t>5io cía. También se asegura que el conde Carlos de Lowenhielm, qae se halla de enviado en Petérsburgo, pasará á Viena , debiendo íreempiazarle en la coite de Rusia el general Bjorsterna. ?. ■* , ■ ; rT £ Tv/T&gt;IN$pMOCA. * 1"': ■ ■■-■r r €óftnka¿üá-j\ ^e Abril: ’ '-•- &gt;•* Ayer se publicó aquí un Real decreto relativo al establecimiento de un banco nacional. Esta medida se ha adqptado:;pon el objeto td[e restablecer el crédito del papel-moneda…</t>
  </si>
  <si>
    <t>BJucher</t>
  </si>
  <si>
    <t>…sa heredera de Weimar, y tendrá después" uña ¿óhfereñcía con la Reina de'Wurtemberg. El dia 22 se vació en la fundición de cañones de esta capital la estatua de bronce colosal del príncipe BJucher ¿ qúe ha de erigirse en Rostock. Di rigió la operación Mr. Lequine, profesor de París, quien tuvo la satisfacción de que se verificase felizmente* ' ALEMANIA. . . ' ¡ 1 Francfort 3 de Setiembre. El censo de población de la Confederación germánica, de que se t…</t>
  </si>
  <si>
    <t>Blak, Joaquín</t>
  </si>
  <si>
    <t>Joaquín Blak</t>
  </si>
  <si>
    <t>…de Tarazona, inquisidor, general; los ^capí^anes generales .Don Josef Palafox y .Melci, cabaHerp gran cruz de la Real y militar orden, de San Fernando, y de la de S. Hermenegildo; D. Joaquín Blak, caballero de íás ; mismas Reales órdenes; D. Pedro Mendinueta, consejero ,4e Estado, caballe ro gran cruz de la &lt;je Cárlos iii , y de la de S. Hermenegildo , y el marques de la Concordia, caballero gran cruz de la Real distinguida órdeh de Car los iti , de l…</t>
  </si>
  <si>
    <t>Blake</t>
  </si>
  <si>
    <t>88o, ron el infame guerrillero Cuesta , que tantos daños lia causado en la provincia de Barinas; el coronel Blake, ingles ; el coronel Rueda , y el infame coronel Romeron, uno de los dos Romeros partidarios en Barinas,. . ' ,, Al mismo tiempo me avisa el coronel D. Sebastian de la Calzada, co mandante general de la quinta división, con fecha de 9 del actual desde el punt…</t>
  </si>
  <si>
    <t>Blake, Joaquín</t>
  </si>
  <si>
    <t>Joaquín Blake</t>
  </si>
  <si>
    <t>…Alejandro Olivan * el discípulo déhReálí colegio de,Farmacia&gt;D. Aíi~ tónio Moreno, y el álférez ?de fragata de la Real Armada D. Saturninoi Mond tojo; y después de estos Jos-Sres. D. Joaquín Blake y.subteniente áspiránte al ¿Real cuerpo de ingenieros., D* Manuel Pose, alférez del Real cuerpo de&lt;ii*± genieros ae la Armada, D. Angel Calderón de la! Barca, D. Manuel Domingo de Urquiza, D. Francisco García, D. Antonio Castro, D. Josef Belda, D. Jo sef Casa…</t>
  </si>
  <si>
    <t>Blan, Giprian</t>
  </si>
  <si>
    <t>Giprian Blan</t>
  </si>
  <si>
    <t>…n ha remitido alExcmo. Sr. secretario de Es tado y del despacho de la Guerra el siguiente estado general de los individuos que en 4a ciudad de Campeche y sus barrios vacunó el Dr. D. Giprian Blan co , cirujano del batallón de milicias de aquella ciudad, desde el año de 804 hasta el de t8ió en1os tér*nir&gt;os siguientes: Enero: vacunaciones 3, niños españoles 6, indios 7, mestizos 34, par dos 3, «egros 2, total 52. Febrero: vacunaciones 4, niños españole…</t>
  </si>
  <si>
    <t>Blanco</t>
  </si>
  <si>
    <t>…ontribuyó en gran parte*, con sus disposiciones á tan feliz-resultado. De nuestra parte no hubo ninguna desgracia¿ Por los informes que tomé de los prisioneros supe que el rebelde coronel Blanco se hallaba en la laguna de Antón Perez con 200 caballos yrnias* de 100 infantes para proteger los dispersos, con cuyo motivo moví, mi júoh&gt; lumna á las ocho de la noche con el .objeto de batirlos ; pero 4 media Iegua&gt; de camino los encontré' de pronto, y me d…</t>
  </si>
  <si>
    <t>…che algunos de mís soldados se mezclaron con el enemigo, los que se fueron separando luego que conocieron su .engaño, trayéndose bastantes prisioneros. Estos me han manifestado al coronel Blanco y á un comandante de escuadrón, que fueron muertos; asegurándome que por el camino que se retiraron hay mu chos en el mismo estado de los que salieron heridos. ,,En este dia el capitán Salgado me avisa desde las Astas haber cogido 46 prisioneros. E11 mi march…</t>
  </si>
  <si>
    <t>Blanco, Canuta Angela</t>
  </si>
  <si>
    <t>Canuta Angela Blanco</t>
  </si>
  <si>
    <t>…ostura á Vicenta Palacios, a Jacob* Romo, á María Rita Romo y á Magdalena Ramírez. En leer y doctrina cris tiana á Nemesia Palacios, á María Barbero y á Catalina Bravo. Escuela de Doña Canuta Angela Blanco. En costura i Gregorio. Cavare-</t>
  </si>
  <si>
    <t>Blanco, Francisco</t>
  </si>
  <si>
    <t>Francisco Blanco</t>
  </si>
  <si>
    <t>….: otra vi ña donde dicen las Manoteras, que tiene 100 cepas de viduño moscatel y tinto, ' linde á oriente con otra de Manuel Marroquin mayor, al mediodía con otra de hetederos de D. Francisco Blanco, al norte con otra de Salvador Montero, tasada en 500 rs.; y últimamente una viña donde dicen el Monteviejo de viduño tinto, que tiene 502 cepas vivas y 38 marras, juntadas estas dos por una, linda por mediodía con otra de herederos de Ignacio Inés, al ponien…</t>
  </si>
  <si>
    <t>Blanco, Hemeterio López y</t>
  </si>
  <si>
    <t>Hemeterio López y Blanco</t>
  </si>
  <si>
    <t>…nto. Dios guarde á V. E. muchos años. Güiria 28 de Agosta de 1817.= Excmo. Sr.rr Francisco Ximenez. = Excmo. Sr. general en gefe D. Pablo Morillo.”' El Rey se ha servido nombrar á D. Hemeterio López y Blanco para la vara de alcalde mayor segundo de la ciudad de Barcelona. Habiendo fallecido ei* Ménico el escuítor honorario de Cámara D. Ma nuel Tolsat director de escultura de la Real academia dé S. Carlos de aque lla capital , acudió su viuda al virey de Nueva-Esp…</t>
  </si>
  <si>
    <t>Blanco, Joaquín</t>
  </si>
  <si>
    <t>Joaquín Blanco</t>
  </si>
  <si>
    <t>…aestre y Osorno y D. Ignacio Fernandez Flores, comandantes de los bergantines Realista y Ven gador, grados de tenientes de navio: á ios alféreces de navio D. Juan de Dios Sotelo , D. Joaquín Blanco y D. Manuel Umendia , empleos de teniente de fragata: al de igual clase D. Josef Alvarez Ramos, grado de teniente de; fra-r gata; y al alférez de fragata, primer piloto de la armada, y capitán de la-fragata mercante titulada Daoiz D. Isidro de Castro, grado de alférez de navio.…</t>
  </si>
  <si>
    <t>Blanco, Josef Blas</t>
  </si>
  <si>
    <t>Josef Blas Blanco</t>
  </si>
  <si>
    <t>…á V. E. muchos años. Valladolid Abril 12 de 1818.= Excmo. Sr. = Matías Martin y Aguirre.==Excmo. Sr. virey D. Juan Rüiz de Apodaca.” ( Se continuarán.) $ Zaragoza go de Setiembre. D. Josef Blas Blanco, González de Laisequilla, Yebra, Roson y Pímentel, caballero de las órdenes militares de Santiago y S. Hermenegildo, dd Consejo de S. M., su secretario cóñ egércicio de decretos, intendente del réiBp de Aragón, de egército, y del de Navarra y provincia de Gui…</t>
  </si>
  <si>
    <t>Blanco, Josef Sabau y</t>
  </si>
  <si>
    <t>Josef Sabau y Blanco</t>
  </si>
  <si>
    <t>…de España del P. Juan de Mariana, ilustrada con notas históricas y críticas, y tablas cronológicas desde los tiempos mas antiguos hasta la muerte del Sr. D. Carlos 111, por el Dr. D. Josef Sabau y Blanco, canónigo de S. Isidro, é individuo de la Real academia de la Histo ria , acudirán á recoger el tomo 4.0, y pagar el 5.0, que está en prensa, á la librería de Quirós; calle de Atocha, frente á los cinco Gremios, y en Santiago á la de Rey Romero. En ambas casa…</t>
  </si>
  <si>
    <t>…España, del P. Juatt de Mariana, ilustrada con notas históricas y críticas, y tablas cronológicas desde lojs tiempos mas antiguos hasta lá muerte del Sr. D. Carlos rn, por el Dr. D. Josef Sabau y Blanco, individuo de la Real academia de la Historia, acudirán á recoger ¿1 tomo 5-°y pagar el 6.°, que está en prensa , á la librería de Quirós , calle de Ato¿cha; y en Santiago en la de Rey Romero. En ambas cas.as.está abierta la sus* cripcion, . * „, , . • » . .…</t>
  </si>
  <si>
    <t>Gaceta de Madrid n.º 126</t>
  </si>
  <si>
    <t>1056</t>
  </si>
  <si>
    <t>…paña del padre Juan de Mariana,ilustrada con notas históricas y críticas, y tablas cronológicas, des de los tiempos mas antiguos hasta la, muerte del Sr. E&gt;. Carlos ni, por él Dr. Don Josef Sabau y Blanco , canónigo de la santa iglesia metropolitana de jBurgós éliridíviduo de lá Real academia de la Historia, acudirán á recoger el tornó 6.° y pagar'él 7.0, que está en prensa, á la librería de Quirós, calle de Atocha, frente á los Cinco Gremios. También se ha ab…</t>
  </si>
  <si>
    <t>…. coi Colección de retrato® dé los Reyes de'España, dispuestos piara servir emla hueva edición de la Historia de España, escrita por el padre Juan de Marianaque ptíbli-? ca el Dr. D. Josef Sabau y Blanco, individuo de ia Real academia¡de ;la1Historia* Se hallan de venta á real y medio cada uno los pertenecientes al tomo 6.°, y sucesi-r vamente se hallarán los de los restantes tomos, según publiquen, en la. imprenta de Fuentenebío, calle de Jacometrezo, y en l…</t>
  </si>
  <si>
    <t>…de España del P. Juan de Mariana, ilustrada con notas históricas y críticas,*y tablas cronológicas, desde los tiempos mas antiguos hasta la muerre del Sr. D. Garlos in; por el Dr. D. Josef Sabau y Blanco, canónigo de' la santa iglesia metropolitana de Burgos , é individuo de la Real academia de la historia, acudirán á recoger el tomo 7.0 y pagar el 8.°, que está ^n prensa, á la hhrerí^ld# Quirós, calle de -Atocha. — También se ha abierto suscripción en Santia…</t>
  </si>
  <si>
    <t>…r ióo. . Colección de retratos de los Reyes de España , dispuestos para servir en la nueva .edición de la Historia de España, escrita por el P. Juan de Mariana, que publica el Dr. D. Josef Sabau y Blanco, individuo de la Real academia de la Historia. Se hallan de venta, á real y medio cada uno, los pertenecientes á los tomos 4.0, 5.0, 6° y y.°, y sucesivamente se hallarán los de los restantes tomos, según se publiquen, en la im prenta de Fuentenebro, calle de…</t>
  </si>
  <si>
    <t>Blanco, María Josefa</t>
  </si>
  <si>
    <t>María Josefa Blanco</t>
  </si>
  <si>
    <t>do Muro 6 , D. Josef Lgnacio Casas 8, Doña María Josefa Blanco y herma-, na 2 , D. Juan Vicente Arévalo 2 , D. Sebastian Fernandez de León 6, Don Pedro Bahamonde 4, D. Siiverio Galarraga 2, D. Fermín Castillo Beitia y hermanos 4 , D. Ignacio Diaz 2, Doña Josefa Solórzano 1, el presbítero Dorr Josef Gregorio Avila 1, D. J…</t>
  </si>
  <si>
    <t>Bland</t>
  </si>
  <si>
    <t>…te se creía en los Estados-Unidos qúei dichas providencias producirán efectos favorables al comercio de Inglaterra* y aquí también parece que los mas opinan lo mismo. . Idem 4. El juez Bland. ha llevado de Chile á los EstadosrUnidos una nueva .semilla de trigo, que dicen es superior á todas las especies, que se conocen dé diéirói grano. ' FRANCIA. "" París 29 de Noviembre. Sahek-Goolam-Maiddun, vekil ó subdelegado de S. A. el Nabod de Dednore, ll…</t>
  </si>
  <si>
    <t>Blanpain</t>
  </si>
  <si>
    <t>…imiento de este cometa es muy lento, su ascensión recta aumenta cerca de y' en 24**, y su declinación en el mismo intervalo de tiempo dis minuye de 33 á 35'. Las observaciones del Sr. Blanpain no comprenden hasta ahora mas que un pequeño arco. Sin embargo el Sr. Nicollet ha dedu cido una órbita parabólica aproximada, y aunque imperfecta, servirá paral hallar la posición del cometa durante algún tiempo con algunos minutos de aproximación. Resulta de…</t>
  </si>
  <si>
    <t>Blanpairt</t>
  </si>
  <si>
    <t>…a 21 de Eneró; pero no les ha sido posible verlo: la pre sencia de la luna sobre el horizonte, las nubes y la lluvia han concurrido á que sus pesquisas hayan sido infructuosas. El Sr. Blanpairt ha remitido á la oficina ae Longitudes las observaciones de este cometa, comprendidas desdé el 4 de Enero hasta el 18 inclusive, época en que tenia 300o 23' de ascehsion recta, y 40o 5/ de declinación boreal; el péndulo marcaba í8h 19/' de tiempo medio, conta…</t>
  </si>
  <si>
    <t>Blas</t>
  </si>
  <si>
    <t>5 * t 'Rojas, alias eLNégro al comandante miiftar de ésta Hneá del sor teniente coronel D. Blas, del Castillo y Luna., para qué la coloque en el lugar que ^conceptúe más oportuno, y acaben, de convencerse los perversos que la vean -de qne las armas del,Re Y siempre vencen cuando son dirigidas por un sabio Gobierno. Mi sección, despues.de haber andado ma…</t>
  </si>
  <si>
    <t>Blasco, Pedro</t>
  </si>
  <si>
    <t>Pedro Blasco</t>
  </si>
  <si>
    <t>…e dispensarles , al teniente coronel D. Josef-Andrés de Jáuregui, y5á todos lós 'oficiales de la sección dé -Tampico , ’qué este géfeme recomien da-en su citado adjunto parte ; ai capitán D. Pedro Blasco ,\tenientes'D.' Jo-sef Llórente y D. Jósef Miguel; Fernandez, y subteniente fD. Marcos- Domin-i guez, de lá división dé milicias de Tuxpart-, y á los subtenientes 'de las cornos páñías de'fieles realistás de Túxpán y Pápantla D. Rafael ¡Contreras y D. Jo-* sé…</t>
  </si>
  <si>
    <t>…parte de mi distrito. ,, Recomiendo muy eficazmente á la consideración de V. S., para que se sirva hacerlo á la superioridad del Excmo. Sr. virey, al capitán de milicias de Tuxpan D. Pedro Blasco, comandante militar de Nautla, al subteniente de fieles realistas de la compañía de Papantla D. Josef Cowley, y al sar gento primero de la sexta compañía de esta división D. Francisco Ruibal, por la eficacia que han tomado en cumplir mis órdenes, de que ha de…</t>
  </si>
  <si>
    <t>Blegío, Josef</t>
  </si>
  <si>
    <t>Josef Blegío</t>
  </si>
  <si>
    <t>…allaba presente dirigiéndonos, observada la fuerza de los rebeldes, y que aun todavía se hallaban en el for tín de S. Antonio y en las inmediaciones ocupando las azoteas, mandó al teniente D. Josef Blegío con tropa de Giiadala jara para que subiese á las azo teas á fin de impedirles el paso, como lo verificó dicho teniente. ,,'Eh las repetidas ocasiones qué V. S. se presentaba con íá serenidad que acostumbra creyó que ya los rebeldes estaban fuera del fortín d…</t>
  </si>
  <si>
    <t>Blucher</t>
  </si>
  <si>
    <t>…el 10 de Junio de 181 8.=Federico” • ... ' A::. .. ' A '. i PRUSIA.* Bertin 20 de Junto. Se está trabajando áliórá en la. casa fundición de estáciudad una estatúe ' en bronce del general Blucher, que debe colocarse en Rostock, su patria. Como desde-que se vació la estatua del gran elector no ?e había vuelto á fun dir otra y se desconfió con razón de los fundidores de aqui, y se envió á bus car á París el que vacío la estatua-de Hénrique ív, que dicen…</t>
  </si>
  <si>
    <t>Gaceta de Madrid n.º 109</t>
  </si>
  <si>
    <t>…Schwartzemberg y su hermano el príncipe Josef permanecerán aqui hasta el día 20. El feld-mariscal ha recibido mucho alivio con los baños, lo mismo que empieza ya á experimentar el príncipe Blucher. ' PRUSIA. Aquisgran 17 de Agosto, S. A. la princesa de Hardenberg ha llegado aqui, en donde se detendrá á tomar los baños. Ademas de las dos compañías de granaderos dé los regimientos de los Em peradores Francisco y Alejandro, que salieron ya de Berlín para…</t>
  </si>
  <si>
    <t>…ncipíete de este mesq y como se ha hecho tan recomendable por sus sobresalientes prendas, Jas noticias (de su -restablecimiento se reciben con una satisfacción indecible. r'j ¡ El príncipe Blucher, que se hatla ¿amblen en Garlsbad, -experimenta no table alivio en su salud, y éS de esperar qué á beneficio de los baños recobre sus fuerzas y ser restablezca enteramente. , En este día se liá Iiecho en Nussdqrf con el mas feliz éxito el. ensayo de un barco1…</t>
  </si>
  <si>
    <t>…ra el dia 13 de Setiembre próximo esperamos aquí á S. M. el Empera dor Alejandro, quien visitará el campamento que ha de formarse cerca de Spandau. Hoy corren voces de que el feld-mariscal Blucher ha muerto de apoplegía, y que el príncipe de Hardemberg se halla enfermo de peligro en Spá. Asimismo se dice que el general Gneisenau va á Londres, y el barón de Huinboldt á Aquisgran. Añaden ademas que el príncipe de Hardemberg ha hecho dimisión de sus desti…</t>
  </si>
  <si>
    <t>La estatua del príncipe Blucher, que se acaba de vaciar, estará aquí ex puesta al público antes de llevarla áRostock. Lo que se recaude por enseñarla se destinará para los soldados inválidos. Mace unos cuantos días que salieron de aquí para Aquisgran varios cabros que Conducen la vajilla de…</t>
  </si>
  <si>
    <t>Boada, Pedro</t>
  </si>
  <si>
    <t>Pedro Boada</t>
  </si>
  <si>
    <t>IÍ6 Habiéndose puesto por equivocación en la Guia de forasteros de esté año entré los ministros de la Real audiencia de Aragón al Sr. D. Pedro Boada de las Costas y Figueras , se avisa que lo es de la de Cataluña. En virtud de providencia del Sr. £&gt;. Angel Fernandez de los Ríos, del Consejo' de S» M., oidor honorario de-la Real chancillería dé Valladolid, y teniente corregidor de esta muy heroica villa, r…</t>
  </si>
  <si>
    <t>BobadiMa, Remigio</t>
  </si>
  <si>
    <t>Remigio BobadiMa</t>
  </si>
  <si>
    <t>…pasarían de la primera edad. Madrid 1° de Abril. ARTICULÓ DE OFICIO1. El Rey nuestro Señor se ha dignado conceder la comandancia de la Guai ra, en las provincias de Venezuela, al coronel D. Remigio BobadiMa, v 1* tenencia de Rey de la plaza de Cuba al coronel D. Juan de Moya y Mo!re;o,n , tehjente córóneí mayordel regimiento-de infantería dé Irlanda. * El Rey nuestro Señor se ha servido condecorar con la gran cruz de la Real y distinguida orden americana de Isab…</t>
  </si>
  <si>
    <t>Bocherini, Sabina</t>
  </si>
  <si>
    <t>Sabina Bocherini</t>
  </si>
  <si>
    <t>…jhaprqrie da dp por ¡ faUecjm j eñto abintestato, causado por fin y muerte.de Doña Josefa ValladaresBocherini, que fue en la menor edad, hija de D.Modesto Valladares deSotomayor y Doña Sabina Bocherini, vecinos que fueron de esta corte , para,sque se presenten ante dicho señor juez y escribanía del infrascrito, á deducirle pop, nje.djp dp. procurador cqn suficiente poder en’ el pre.cjsb^térraiño &lt;3^ 3Q &lt;|¡as| y pasado ‘sin ^ha^erlo,' ‘fes parará L el per^ j…</t>
  </si>
  <si>
    <t>Boils, Josef Pujadas y</t>
  </si>
  <si>
    <t>Josef Pujadas y Boils</t>
  </si>
  <si>
    <t>…ciudad de Estella, reino de Navarra, á D. Domingo Gaxiuza, escribano Real. En 2 de Febrero del año de 1814 se embarcaron en Cádiz en el bergantín Eolo, para Veracruz y la Havana, D. Josef Pujadas y Boils, y Josef Fernandez, ambos naturales de Madrid, y con un mismo designio de seguir la náutica. Quien supiere el paradero de estos dos jóvenes tendrá la bondad de noticiarlo á D. Juan Pujadas y Boils , su padre, catedrático numerario de la Real academia latina,…</t>
  </si>
  <si>
    <t>Boils, Juan Pujadas y</t>
  </si>
  <si>
    <t>Juan Pujadas y Boils</t>
  </si>
  <si>
    <t>…Boils, y Josef Fernandez, ambos naturales de Madrid, y con un mismo designio de seguir la náutica. Quien supiere el paradero de estos dos jóvenes tendrá la bondad de noticiarlo á D. Juan Pujadas y Boils , su padre, catedrático numerario de la Real academia latina, el cual tiene su aula publica en la calle de Cantaranas, entrando por la del León, núm. 16, cuarto 2.* EN LA IMPRENTA REAL.</t>
  </si>
  <si>
    <t>Boix, Esteban</t>
  </si>
  <si>
    <t>Esteban Boix</t>
  </si>
  <si>
    <t>…o del reino de Valencia í o. zz Topografía del Real sitio de Aran juez ióo.rirLa Visitación de nuestra Seño ra á Sta. Isabel, del original de Rafael Urbino, dibujada y grabada por D. Esteban Boix, 20. = El charlatán Sacamuelas , del original de Teodoro Roclans, flamenco, grabada por Carmona, %o. (Se continuaran.) r El Sr.: D. Francisco Cándido de Paz, del Consejo de S. M., y alcalde, de su Real Casa y Corte, se lía servido señalar la hora de las cuatr…</t>
  </si>
  <si>
    <t>Bolaños, Juan</t>
  </si>
  <si>
    <t>Juan Bolaños</t>
  </si>
  <si>
    <t>…ez : D. Josef Auñon, de Mo ren : D. Juan Aguado, de las Cabezas: el hermano Josef de la Cruz Menacho, de Puerto-Real: D. Juan Loustalet, de Cádiz: D, Agustín Fernandez, de Bornos: D. Juan Bolaños, de Zalamea: D. Pedro Romero Balmaseda, de Se villa; y D. Manuel Lerena y Caro, de Trebujena. El caballero Espinosa mostró á nombre de lá hermandad su satisfacción al</t>
  </si>
  <si>
    <t>Bonesio, Luis</t>
  </si>
  <si>
    <t>Luis Bonesio</t>
  </si>
  <si>
    <t>…D. Angel Fernández de los Ríos, del Consejo de S. M., teniente primero de corregidor de ésta muy heroica villa, ha señalado para la celebración de una jun ta de los acreedores dé D. Luis Bonesio el día 25 del corriente en su posada, á las nueve en punto de su mañana, citándolos por ios papeles públicos de esta capital para su concurrencia, por sí ó por medio de apoderados que les representen con poder bastante; con prevención que no verificándolo les…</t>
  </si>
  <si>
    <t>Boo, Juan Tavares y</t>
  </si>
  <si>
    <t>Juan Tavares y Boo</t>
  </si>
  <si>
    <t>…ificencia correspondiente al alto objeto á que se dedicaba. iGongregados los socios, y úna diputación del ayun tamiento y las autoridades civiles y eclesiásticas, elivice-director D. Juan Tavares y Boo dio principio al acto con un discurso, en el que manifestó todas las ventajas quef estosf establecimientos podrían proporcionar á la felicidad pública ; después del cual el secretario del cuerpo D. Juan Bautista Bandiní leyó el extracto de las actas del año q…</t>
  </si>
  <si>
    <t>Borbon, Luis de</t>
  </si>
  <si>
    <t>Luis de Borbon</t>
  </si>
  <si>
    <t>…tóbal Bencomo, confesor del Rey nuestro Señor, gran cruz de Carlos ni, maestro que ha sido de $. M. y de los Sernos. Sres. Infantes; siendo el prelado consagrante el Emo. y Excmo. Sr. D. Luis de Borbon, cardenal de Scala, arzobispo de Toledo, y asistentes el Excmo. é limo. Sr. D. Gerónimo Castillon y Salas, inquisidor general, obispo de Tarazona, y el limo. Sr. D. Eelipe de Montoya, obispo de Teruel. SS. MM. y AA. RR. asistieron á tan augusta función en sus…</t>
  </si>
  <si>
    <t>Borcke</t>
  </si>
  <si>
    <t>1250</t>
  </si>
  <si>
    <t>…á las seis y media de la mañana se han entregado á la guardia nacional todos los puntos y apostaderos que cubrían las tropas extrangeras. El general: en gefe conde de Ziethen y el general Borcke presidieron este acto, dirigién dose después dé la .entrega á la plaza de Turena , donde estaban formadas la guar dia nacional y el resto de las tropas prusianas: y un capellán prusiano colocado en el centro hizo oración, y pronunció un discurso dando á Dios…</t>
  </si>
  <si>
    <t>Borges, Feliciano</t>
  </si>
  <si>
    <t>Feliciano Borges</t>
  </si>
  <si>
    <t>…o Losada 3 , D. Rodulfo Vasallo iD. Tomas Pónce 4 reales¿ D. Juan Campos 2 pesos, D. Juan Insua 2 , Don Francisco Rodríguez Mesa 2 * Sres. Perez y Chaves 4, D. Ramón Gutiér rez 6, D. Feliciano Borges 4, D. Josef Hernández Horta 4 , D. Matías Cas tro 4, D. Juan V ícente Perez 2, D. Antonio García 2 , D. Pedro Castillo 4, D. Josef Antonio Rasquin 5 , D. Francisco de Iturbe 10, D. Ramón de Azpurua 5 , Dv Miguel Rabelo Alcántara 16, D. Félix Domingo Martínez…</t>
  </si>
  <si>
    <t>Borgia</t>
  </si>
  <si>
    <t>…oso que el empleada' hasta ahora. Se ha hecho el ensayo en un café de aquella ciudad, y el diaria; dice que la luz de este nuevo aparato es mas resplandeciente que la del otro. El conde Borgia , sobrino del célebre cardenal de este nombre , va á pu blicar en Ñapóles una descripción de Túnez y de las ruinas antiguas de Cartago, que ha reconocido con ia mayor detención por espacio de 18 mese» que ha permanecido en aquel pais. Las nuevas excavaciones…</t>
  </si>
  <si>
    <t>Borgo, Pozo di</t>
  </si>
  <si>
    <t>Pozo di Borgo</t>
  </si>
  <si>
    <t>…corte. No «e4ia confirmado la noticia que corrió estos últimos días de que las grandes potencias reemplazaban varios de sus ministros residentes en la corte de Francia. El Excmo. Sr. Pozo di Borgo estará de vuelta en París para fin del mes. : v,.'. Idem XJ, ,¡ j ¡ Se acerca el.fin de la gran reunión celebrada en esta , ciudad* Los Sobera nos, los. diplomáticos y los banqueros están disponiendo sus viages * y la con ferencia que han de tener los ministr…</t>
  </si>
  <si>
    <t>Borgo, Pozzo di</t>
  </si>
  <si>
    <t>Pozzo di Borgo</t>
  </si>
  <si>
    <t>nia de Aquí sgran, y pasaba á Londres, y Mr. Solonin, cor reo rusoproce dente dé Londres: • ' ■----Ha vuelto á Aquisgran el teniente general Pozzo di Borgo, ministro ple nipotenciario de S M. el .Emperador cíe Rusia cerca de la corte de ¡Francia, el cual vino á desempeñar una comisión de sirSoberano cerca del nuestro mientras estuvo en Amsterdam. PRUSIA. Aquisgran 14 de Octubre. Se asegura que lord Gastlereagh v…</t>
  </si>
  <si>
    <t>Gaceta de Madrid n.º 146</t>
  </si>
  <si>
    <t>…en esta ciudad el Principe Real de Prustay su comitiva , el príncipe de Menziko#* primer edecán del Emperador de Rusia, Jos genera les CaernicheftyRaousky y Tygobarsky, el Excmo. Sr. Pozzo di Borgo* ministro de Rusia cerca de la corte de Francia: el general Murray, al servi cio de Austria, todos procedentes de Aquisgran; el consejero del Emperador de Rusia Villamoff, que viene de París* y el príncipe de Hesse* procedente también de Francia. Hoy á las cu…</t>
  </si>
  <si>
    <t>Borrulf, Francisco Xavier</t>
  </si>
  <si>
    <t>Francisco Xavier Borrulf</t>
  </si>
  <si>
    <t>…raldo, D. Lorenzo Villanuevay D. Josef Alonso, á D. Miguel Modet, oidor de la audiencia de México; á D. Josef González Tizón , oidoír de la de Cataluña, ambos con su antigüedad; á D. Francisco Xavier Borrulf, y D. Josef de Cartagena, oidores en comisión que han sido de la misma au*diencia de Valencia; y para la plaza de fiscal de lo criminal, vacante en el propio tribunal , también por jubilación de D. Antonio Saenz de Viz manos* á D. Josef Ayuso y Navarro, cated…</t>
  </si>
  <si>
    <t>Bosinos</t>
  </si>
  <si>
    <t>…día 17 habían marchado los rebeldes hácia el rumbo de S Luis de la Paz, lo cual me confirmaron los duplicados avisos que recibí de dicho señor Orrantía. En su vista combiné con el comandante Bosinos contramarchar y perseguir á ios rebeldes; y después de haber comido la tropa un rancho, salí con mi sección para la hacienda de Monjas, y Bosinos con la suya para la del’ Rincón. Siempre en la marcha fui adquiriendo noticias que confirmaron en un todo las pri…</t>
  </si>
  <si>
    <t>Bosinos, Froilan</t>
  </si>
  <si>
    <t>Froilan Bosinos</t>
  </si>
  <si>
    <t>…Francisco de Orrantía, como manifesté á V. S. por mi oficio num. 14 de 18 del corriente, salí el 19 por la mañana del pueblo de Dolores, unido con la sección del teniente coronal D. Froilan Bosinos para la hacienda de la Quemada, con el objeto de dividirnos en aquel punto, y perseguir por distintas direcciones ai cabecilla Ortiz, alias el Pachón. Al llegar á. dicha hacienda tuve noticia por mis confi dentes que el día 17 habían marchado los rebeldes hác…</t>
  </si>
  <si>
    <t>BósTnoá, Froilah</t>
  </si>
  <si>
    <t>Froilah BósTnoá</t>
  </si>
  <si>
    <t>2.° ,, Excmo*. Sr. í Acompaño á la iDpérioridad de V.E. el adjunfrrpárVe^ del comandante del segundo batallón de Zaragoza D. Froilah BósTnoá^ y^seP gundo de la sección que opera por el norte de esta provincia, según1 Ib dis puesto por la superioridad de V. E., en que manifiesta los puntos que ha re corrido por aquel rumbo, y la aprehensión qüe hizo del cabecilla Josef Vic toriano y»otros 2 de su g…</t>
  </si>
  <si>
    <t>Bottini</t>
  </si>
  <si>
    <t>943</t>
  </si>
  <si>
    <t>…de Humboldt, ministro de Prusia en Londres, y el barón de Stein. Tal vez estos rumores serán inventa dos por los que aun tienen casas que alquilar. ITALIA. Roma o. $ de Agosto. El cardenal Bottini acaba de morir á la edad de Si años. El cardenal Carfaffa, que tiene 96 años, se ha restablecido de la grave enfermedad que padecía. Han llegado á Insprüclc las personas que acompañan al conde de Lutzou, internuncio austríaco cerca dé la corte de Constantinop…</t>
  </si>
  <si>
    <t>Bourdonnaye</t>
  </si>
  <si>
    <t>624</t>
  </si>
  <si>
    <t>…ón del barón de Fagel, embajador de los Países-Bajos cerca de la corte de Francia, se han restituido á la ciudad de Gasté las llaves quelenvió á..la convención francesasen 1792 el general Bourdonnaye , que entró sin. dispararse un tiro en aquella plaza. &gt; f ‘ En Marais vive una señora de 108 años, que tiene expeditas todas sus dicen que la grande y ñorecieiite ciudad de FUinópoli, en la. Romanía, ha sido</t>
  </si>
  <si>
    <t>Boves, Benito Rodríguez</t>
  </si>
  <si>
    <t>Benito Rodríguez Boves</t>
  </si>
  <si>
    <t>…éban Diaz, que á mi lado desempeñó las funciones de su empleo con la serenidad y valor que tiene tan acreditados: al adicto de la misma teniente graduado y alférez; de la Victoria D. Benito Rodríguez Boves., qué se distinguió , cómo siempre, por su valor: á mi ayudante de órdenes el alférez de granaderos de la Vic toria D. Gil Gómez de Agueto, que con valor extraordinario comunicó mis* órdenes entre los fuegos del enemigo, habiendo estado ya en manos de estos1…</t>
  </si>
  <si>
    <t>Boyer</t>
  </si>
  <si>
    <t>…de Wangeuheim, ministro der Estado del Rey .de Wtirtemberg. •• ' Piarts 75 de Abril. ■' Sé asegura que á petición de S. A. R. el duque de Angulema se ha dignado S. M. perdonar ál general Boyer, que fue sentenciado á muerte en 1816, y cuya pena se había conmutado en otra menos grave. El be ron Vincent, ministro de Austria, ha tenido hoy una conferencié con lord Wellington. &gt; ^ En un* periódico dé esta capital se dice que Mr. Dunoyer, ano de los edi…</t>
  </si>
  <si>
    <t>…Emperador ¿le.Austria. ! Escriben de Berlín que el Rey de Prusia á su vuelta de Petersburgo ha hecho varías alteraciones'en los uniformes de la ¡tropa de;sti guardia, mandantío al general Boyer, ministro de la Guerra r ¿que: si los fondos (del ministerio de su cargo no son suficientes á costear estos .gastos, M. los suplirá de su bolsillo particular. Es regular que se publique pronto la orden que oon éste motivo debe expedir el ministro de la Guerra…</t>
  </si>
  <si>
    <t>Bozo, Manuel</t>
  </si>
  <si>
    <t>Manuel Bozo</t>
  </si>
  <si>
    <t>…stian Rodriguez de Arias : no obstante los navegantes que hagan su derrota por este paralelo deben navegar con precaución por si acaso exis tiesen realmente estos dos bajos. otro. D. Manuel Bozo, piloto de la bombarda española Nuestra Señora del Carmen , navegando desde Veracruz y Laguna de Términos á la Havana, el dia 8 de Diciembre de 18 17 al amanecer vio una reventazón en piedra por el por talón de estribor, estando la mar llana, y el viento por…</t>
  </si>
  <si>
    <t>Brache, Josef Benedicto</t>
  </si>
  <si>
    <t>Josef Benedicto Brache</t>
  </si>
  <si>
    <t>…ersonal y medalla de oro. Guerrillas de Qrtiz y Parapara. D. Josef María Requena , natural de $/ Juan de los Morros, aprobado de capitán y el Don personal. Escuadran.íde Jisnaaos. D. Josef Benedicto Brache, natural del Pao, aprobado en su empleo de capitán, y obtuvo el Don.personal..Capitanes: Don Josef Antonio Ochoa, D. Manuel Felipe Ochoa y D. Acario Ramos, naturaleí de la villa dei Pao j aprobados en sus empleos de capitanes de milicias, la nobleza personal…</t>
  </si>
  <si>
    <t>Bracho, Rafael</t>
  </si>
  <si>
    <t>Rafael Bracho</t>
  </si>
  <si>
    <t>…Francisco de Orrantía, quien entró en Silao ayer á las 7 de la mañana. „ Dios guarde á V. S. muchos años. Celaya Octubre 28 de 1817 á las 9 de la noche. = Agustín de Aguirre.= Sr. coronel D. Rafael Bracho, co mandante militar y político de Queretaro.” El Excmo. virey dispuso se diesen al público en gaceta extraordinaria los precedentes partes para satisfacción de los leales vasallos de S. M. A su consecuenciav y de acuerdo con el limo. Sr. arzobispo, ha ^dis p…</t>
  </si>
  <si>
    <t>…de sus justificantes para que se les conceda la correspondiente pensión. Con fecha de 24 del corriente mes de Octubre dice desde Querétaro al Excmo. Sr virey, entre otras cosas,el coronel D. Rafael Bracho lo siguiente: „El capitán D. Julián Jubera me ha manifestado verbalmente que el 20 atacó el coronel D. Francisco de Orrantía ai traidor Mina en el valle de San tiago , y que él con su partida de 80 caballos ló acompañó en esta empresa, logrando dispersar ente…</t>
  </si>
  <si>
    <t>V .... ESPAÑA. •" ' / México $ de Marzo. Continuación de los partes de Nueva-JSsgaña. Oficios del coronel D. Rafael Bracho. i.° ,, Excmo. Sr.: El 17 de este mes, habiendo salido de Xerécuaro con des^ tino á esta ciudad, el sargento de realistas de aquel pueblo Josef María Juárez con una partida de 13 hombres, encontró sobre la marcha á 2 facciosos, i .quienes persiguió inmediatam…</t>
  </si>
  <si>
    <t>…echo; y de los fu siles V- S. dispondrá lo que convenga, siendo uno de ellos de mi regimiento. ,,Dios guarde á V. S. muchos años. Colorado Enero 25 de x8i8. =Dámaso Carvajal. =Sr. coronel D. Rafael Bracho.” 3.0 ,, Excmo. Sr.: Original paso á manos de V. E. el parte que me ha dado el capitán del batallón ligero de Querétaro y comandante del destaca mento de Casas Viejas D. Manuel Diaz del Campo , avisándome el resul tado del choque que tuvo con la gavilla del r…</t>
  </si>
  <si>
    <t>…ficar la última gota de sangre en defensa del mejor de los Soberanos. , ,, Dios guarde á V. S. muchos años. Cantón de Casas 'Viejas Enero 22 de i8i8. = Manuel Diaz del Campo.= Sr. coronel D. Rafael Bracho.” Jaca 29 de Agosto,. Eos discípulos de las escuelas Pías de esta ciudad de las clases de retórica y de escribir celebraron en ios dias 19 y 20 de Junio último egercicios públi cos de letras humanas, doctrina cristiana, calografía, aritmética, ortografía, gra…</t>
  </si>
  <si>
    <t>Braganza, María Isabel de</t>
  </si>
  <si>
    <t>María Isabel de Braganza</t>
  </si>
  <si>
    <t>…, prisión y muer te de Luis xvi. Rey de Francia, dedicada al Rey nuestro Señor D. Fernando vii: un tomo en 8.° = Historia de la nueva Antígona, dedicada á la Reina nuestra Se ñora Doña María Isabel de Braganza: un tomo en 8.° zzHistoria de la persecu ción de la Iglesia por Napoleón Bonaparte desde el año de 1796 hasta el de.1815 inclusive, con notas muy interesantes y poco conocidas: un tomo en 8.° = Historia cierta de la secta de los francmasones, su origen, doctr…</t>
  </si>
  <si>
    <t>Brahe</t>
  </si>
  <si>
    <t>…consejero de Estadodel barónCederstroem, gobernador de la capital, y gefe del estado mayor de la escuadra, y del consejero de Estado conde Moerner. El Rey lleva en su comitiva al conde Brahe y al barón Koskull, y el Príncipe Real en la suya al conde Posse. En su vi age atravesarán S. M. y A. R. la Westro-Gothia para ver el nuevo canal que se está construyendo allí; pero no irán ahora á Gothemburgo, dejando, según se dice, para su regreso la ida á…</t>
  </si>
  <si>
    <t>Branchlsch</t>
  </si>
  <si>
    <t>…S. M. para Moscow acom pañado de S. A. ei Príncipe Real. Lleva S. M. en su comitiva al duque Car los de Mecklenbourg-Strelitz, al gran escudero Jagow, á sus ayudantes de campo, al coronel Branchlsch, al mayor conde Kanitz, al mayor Malachowski, al coronel Witzleben, al consejero de Cámara Albrecht y al doc tor Wicbel, médico de Cámara y del Estado mayor; y el Príncipe Real va acompañado de su primer ayudante el coronel Schack. Luego que llegue S. M. á Ru…</t>
  </si>
  <si>
    <t>Brandi, Mariano</t>
  </si>
  <si>
    <t>Mariano Brandi</t>
  </si>
  <si>
    <t>…e, se vende la estampa de nuestra Señora del Carmen llamada la Maragata, en pliego de marca mayor, á 5 rs., y el santo Angel de la Guarda, grabado en cuar tilla de marca mayor por D. Mariano Brandi, á 3 rs. cada uno. Hay de este y otros diferentes tamaños variedad de santos y santas de la mayor devoción en negro é ilu minadas. EN LA IMPRENTA REAL.</t>
  </si>
  <si>
    <t>…uerte, legado por la Excma. Sra. Princesa de Salm Salm, duquesa viuda deí Infantado, á la iglesia parroquial de S. Andrés de esta corte, dibujada por D. Juan Galvez, y grabada por D. Mariano Brandi. Se vende en la sacristía de dicha iglesia á 8 rs. EN LA IMPRENTA REAL.</t>
  </si>
  <si>
    <t>Bravo, Francisco Carbonéll y</t>
  </si>
  <si>
    <t>Francisco Carbonéll y Bravo</t>
  </si>
  <si>
    <t>…a, escrito en italiano por D. J. Mojon ,'|irdfesor de quí mica eri Já Real univérsidad de Génovatradticidó éñ castellano , é ilustrado con los descubrimientos mas modernos, por el doctor D. Francisco Carbonéll y Bravo, bo ticario honorario de cámara de S. M., catedrático de química &amp;c. La general acepta ción que esta obra ha tenido en Italia y en Francia la hace del mayor interes; y pue de prometerse la España con la publicación de la misma el mayor beneficio para el estud…</t>
  </si>
  <si>
    <t>Bravo, Ignacio</t>
  </si>
  <si>
    <t>Ignacio Bravo</t>
  </si>
  <si>
    <t>…este dia, pues de otro modo hubiera sido víctima como los demas, pagando coma debía. „De los movimientos de ía infantería que aí mando del teniente de dra gones fieles del Potosí D. Ignacio Bravo fue despachada como llevo expresa do á V. E^ por su capitán D. Manuel Gómez, se impondrá por el adjuntó parte j que original incluyo , como igualmente lo egecuto con el que rae ha da do el capitán de dragones del Sur D. Bernabé Villanueva, quien por orden, de…</t>
  </si>
  <si>
    <t>…gente que mandaba cortó la retirada á los rebeldes , y. se intro dujo dentro de la fortificación por detras de la iglesia, juntándose con los.» mios; al teniente de S. Luis Potosí D. Ignacio Bravo, y al teniente graduado del regimiento de Veracruz D. Josef Ordoñez ; al capitán de realistas de Te—? loioapan, graduado de teniente coronel, D. Tomas Diáz, y al alférez D. Ma-riano Estrada; al capitán de realistas de este real D. Josef Embriz, y te niente de…</t>
  </si>
  <si>
    <t>Bravo, Mariano</t>
  </si>
  <si>
    <t>Mariano Bravo</t>
  </si>
  <si>
    <t>…sar dichos torrentes con agua al pecho. Para conse guir la empresa con el debido honor de las Reales armas, dispuse que 2 guer rillas de á 30 hombres, al mando de los subtenientes D. Mariano Bravo y ' £&gt;. Pedro González, flanqueasen la vereda por donde el resto de la división ténia que caminar como 3 leguas de monte asperísimo é intrincado, en cuya marcha el soldado es preciso vaya siempre desfilando. Continué en este or den hasta 3 cuartos de legua di…</t>
  </si>
  <si>
    <t>…ta manifestar á V. S. la sobresaliente conducta que han observado eí capitán graduado cié cabal Ierra de Tesiutlan D. Andrés Fernandez de la Ara da, los subtenientes de infantería D. Mariano Bravo, de Zacapoaxtla, Don» Pedro González, de Altoronga-, y D. Josef Martínez, de Tesiutl'an , y el ca pitán nombrado de la compañía de caballería de Tlacopayan D. Josef Ma-</t>
  </si>
  <si>
    <t>Bremon, Vicente</t>
  </si>
  <si>
    <t>Vicente Bremon</t>
  </si>
  <si>
    <t>…i:i6 sbldadds¿del ¿régimiéntode;-iqfantería^de&gt;ik Reina y y j;,oficialy 2:i¿abós,.yi 14-saldados de caballería deP regimiento ii°'de línea. Tercer distrito: comandante el teniente coronel D. Vicente Bremon j comandante de escuadrón del mismo* Fuerza quedé cubre;: y oficiales, 12 sar-* genios., 16 cabos, 1 tambor y 1*39! soldados dél regialiehto. de tintan teríadé la Reina; y 1 .oficial ,fi sargento i cabo ¡y 17 soldado^ de cabá hería def iré» gimientp. ;i;° de…</t>
  </si>
  <si>
    <t>Brezzo</t>
  </si>
  <si>
    <t>…te de eclesiásticos, entre los cuales se dis tingue el P. Lambroschini, barnabita, que es uno de los teólogos mas sabios de Roma, y el mismo que en 1815 acompañó como consejero al cardenal Brezzo cuando este negoció el concordato con la corte de Toscana. Parece pues que van á negociarse en Terracina, ó bien los preliminares de un con cordato completo, ó por lo menos las estipulaciones necesarias para los nom bramientos de los muchos obispados vacantes…</t>
  </si>
  <si>
    <t>Brikdale, Juan</t>
  </si>
  <si>
    <t>Juan Brikdale</t>
  </si>
  <si>
    <t>…ti, 8. = Otra idem del mismo Guido Reñí, 6. (Se continuará.') En el Consejo supremo de Hacienda y sala segunda de Justicia se hallan pen dientes autos en grado de apelación contra D. Juan Brikdale, comandante que fue del tercer batallón del regimiento de infantería de Hibernia, D. Jorge de Lara y Don Pedro López de Castro, teniente comandante y escribano del resguardo de rentas del Ferrol , sobre comiso de varios géneros de ilícito comercio que se apre…</t>
  </si>
  <si>
    <t>Briones, Juan Nepomuceno</t>
  </si>
  <si>
    <t>Juan Nepomuceno Briones</t>
  </si>
  <si>
    <t>…sde el pueblo de Zinapécuaro haber dispuesto saliese la no che del 12 el alférez de Moneada D. Josef Casado con 25 dragones á Santa Ana Maya á sorprender una gavilla del cabecilla capitán Juan Nepomuceno Briones que hostilizaba aquel territorio, habiendo sido el resultado la apreheasion de dicho rebelde, otro titulado teniente y 2 soldados, quitándoles 10 ca ballos , un pjar de pistolas y 4 sables. El capitán Perez conducía á esta ciudad á los expresados reos con la…</t>
  </si>
  <si>
    <t>Britto</t>
  </si>
  <si>
    <t>Gaceta de Madrid n.º 3</t>
  </si>
  <si>
    <t>…peligro sos que se manifiestan en la calentura nerviosa ó' pútrida; pero hasta; ahora no es considerable el número de sus víctimas. Ayer recibió el Rey en audiencia particular al caballero Britto, ministro plenipotenciario de Portugal, quien dió cuenta á S. M. del matrimonio del Príncipe Real de Portugal con la Princesa Leopoldina de Austria» . La tempestad que htíbo en la noche del 7*0! &gt;8 dé Diciembre destruyó en el canal de la Mancha como unos' 20…</t>
  </si>
  <si>
    <t>Briz, Rafael</t>
  </si>
  <si>
    <t>Rafael Briz</t>
  </si>
  <si>
    <t>…el Vendrell, 1 ofi cial, 3 sargentos, 37 cabos y soldados: Vilanueva y Geltrú,; 1 oficial, 2 sar gentos, 30 cabos y soldados : Sitges, 1 oficial, 1 sargento, 20 cabos y solda dos: D. Rafael Briz, capitán de voluntarios de Tarragona, inspector de estas partidas:el coronel D. Juan Toledo, capitán del regimiento de infantería de Aragón , gefe de estos distritos: el brigadier D. Juan Rafael Lassala, comandan te de voluntarios de Tarragona, comandante de…</t>
  </si>
  <si>
    <t>Brizuela, Anastasio</t>
  </si>
  <si>
    <t>Anastasio Brizuela</t>
  </si>
  <si>
    <t>…uarde á V. E. muchos años. Lagos Diciembre &gt;r de 1817. ==Excmo. Sr. = Hermenegildo Revuelta. — Excmo. Sr. mariscal de campo Don Josef de la Cruz.” _ 3.° ,, Excmo. Sr.: El teniente coronel D. Anastasio Brizuela, comandante militar de la Piedad, con fecha 21 *del corriente me dice entre otras cosas lo que sigue r 1 . ,, Comunico á V. E. que antes de anoche salió una partida al Malpais, y logró traer 8 prisioneros, y quitarles 60caballos, 2 retacos y varias armas blan…</t>
  </si>
  <si>
    <t>Brizuéla, Juan Antonia’</t>
  </si>
  <si>
    <t>Juan Antonia’ Brizuéla</t>
  </si>
  <si>
    <t>…e general mariscal de. campokD. Josef de la Cruz. i.° ,, Exemo. Sr.: Paso á manos de Vi E. para su debido superior cono cimiento el parte original que me1 ha dirigido él- teniente coronel D. Juan Antonia’ Brizuéla £ comandante militar, de . la villa de. Zamora, trasladándome</t>
  </si>
  <si>
    <t>Brizuela, Juan Antonio</t>
  </si>
  <si>
    <t>Juan Antonio Brizuela</t>
  </si>
  <si>
    <t>. . 8ii 4.® ,, Excmo. Sr.: El comandante militar de la villa de Zamora teniente coronel D. Juan Antonio Brizuela con fecha 11 del corriente me dice lo que sigue: ,, Excmo, Sr.: El teniente coronel D. Antonio García Rojas, con fecha 10 del corriente, desde Tangancícuaro entre otras cosas me dice lo que sigue; Los tenientes Verdusco y Franco con 60 hombres andan desde el…</t>
  </si>
  <si>
    <t>Bronwurigg</t>
  </si>
  <si>
    <t>…arados, y reconcentrar su cuerpo de egército. Los rebeldes están bien provistos de armas dé fuego y de municiones. Todo él mundo se queja; devla conducta imprudente é inhumana del gobernador Bronwurigg, y-se dice públicamente que no hay otro remedio para salvar la islá sino el de nombrar otro gobernador. Según noticias de la India las tropas inglesas qúe! han hecho últimamente la .guerra en aquélla parte del mundo van á récibir grandes recompensas por sú he…</t>
  </si>
  <si>
    <t>Brown</t>
  </si>
  <si>
    <t>…cto, que aun los hombres mas crédulos no se dejarán ya alucinar con sus prome sas. La muerte del general Piar, la prisión de Mina, la destrucción de sus secuaces, la deserción del almirante Brown, la retirada de Mac-Gregor, la desunión entre los insurgentes, y el favorable aspecto que ofrecen las nego ciaciones por efecto de una política ilustrada con la experiencia, son otros tantos hechos que anuncian el próximo fin de la insurrección. FRANCIA. Parí…</t>
  </si>
  <si>
    <t>Brull, Josef María</t>
  </si>
  <si>
    <t>Josef María Brull</t>
  </si>
  <si>
    <t>…ente al procurador síndico general Lie. D. Manuel Montero. Observaciones sobre la naturaleza y virtudes de las aguas minerales de Trillo, por el médico director por S. M. de ellas D. Josef María Brull, proto-médico que fue del egército de reserva, y socio de mérito de la Real sociedad médica de Sevilla. Se hallará en la librería de Paz. Puede ir en carta. EN LA IMPRENTA REAL.</t>
  </si>
  <si>
    <t>Bruneti, Juan</t>
  </si>
  <si>
    <t>Juan Bruneti</t>
  </si>
  <si>
    <t>…l, 8. =¡Estampa de S. Josef, copiada del original de Alonso Cano, que se halla en S. Gines de Madrid, 8. = Estampa cfó Sita, María Magdalena, copiada de Guido Reñí , y grabada por D. Juan Bruneti, 8. = Otra idem del mismo Guido Reñí, 6. (Se continuará.') En el Consejo supremo de Hacienda y sala segunda de Justicia se hallan pen dientes autos en grado de apelación contra D. Juan Brikdale, comandante que fue del tercer batallón del regimiento de infante…</t>
  </si>
  <si>
    <t>Bu</t>
  </si>
  <si>
    <t>I2ÓO Junto parte del-coronel Bu stamante, relativo á la derrota que ha logrado dar á la gavilla del P. Torres, los Ortices, alias los Pachones, Borja y otros cabe cillas, causándoles la pérdida, de mas de 200 hombres entre muertos y pri sioneros , como verá v . E. en dicho parte, que origin…</t>
  </si>
  <si>
    <t>Bu'tamante, Anastasio</t>
  </si>
  <si>
    <t>Anastasio Bu'tamante</t>
  </si>
  <si>
    <t>…, señalada con el número i.°: 76 fueron cogidos por nuestra valiente caballería, que salió del Plan al principio del combate, mandada-por el infatigable teniente córoíiel graduado D. Anastasio Bu'tamante, encargando un fuerte trozo al espi tan de dragones de S. Carlos D. Miguel Beistegui para qué obrase separado, según las instrucciones que dio el coronel D. Francisco de Orraotía , la cual tuvo: que caminar toda la noche por fuera de las encrespadas montañas…</t>
  </si>
  <si>
    <t>Bucef, Joaquín</t>
  </si>
  <si>
    <t>Joaquín Bucef</t>
  </si>
  <si>
    <t>…del sueldo que gozaba cuando cesó en aquel destino, como igualmente délos haberes que fe haya quedado debiendo la Real Hacienda. En los autos de concurso de acreedores al difunto D. Joaquín Bucef r que radi can en el tribunal del consulado de comercio dé Cádiz y escribanías «fe D. Juan dé Fuentes,, se ha dictado providencia» por la cual se manda cjtar-y emplazar á eualqaié-</t>
  </si>
  <si>
    <t>Buchan</t>
  </si>
  <si>
    <t>…n provistos ademas de redes y ar pones para" la pesca dé ía ballena—El capitán Ross entrará por el estrecho de Davis , y se dirigirá al O. según le permitan las circunstancias. El capitán Buchan irá* en derechura al Polo; y si logra llegar allá, se encaminará en se guida al estrecho de Behring, asi como el capitán Ross. Varios prácticos que conocen bien la costa de Groenlandia van á bordo de los buques para guiar los como pilotos en los hielos. Hay a…</t>
  </si>
  <si>
    <t>Buchhols</t>
  </si>
  <si>
    <t>…náculos ó estufas mas bien cuidadas, y que acaso nacería si antes se la pusiese en una lejía alcalina, ó se la diese á comer á alguna ave como pavo , pato ú otro gallináceo.” , El doctor Buchhols, deLubeck,que en el congreso de Viena era el agente de los israelitas, ha ido á Aquisgran en la misma calidad. Un ingles llamado Mr. Owen ha presentado, en Aquisgran, un plan para extinguir la mendicidad, cuya principal idea se reduce á establecer á los mendi…</t>
  </si>
  <si>
    <t>Buendia, Josef</t>
  </si>
  <si>
    <t>Josef Buendia</t>
  </si>
  <si>
    <t>…Faus tino Girado. En calografía á Dámaso García. En aritmética á Juan Mora-» leda. En gramática castellana á Juan de Arroyo. En doctrina cristiana á Ce-f cilio Ribero. Escuela de D. Josef Buendia. En primera clase de escribir: premio i.° á Gregorio Sedeño ,2*° á Felipe Chicharro. En segunda clase de escribir: premio i.° á Antonio Sánchez , 2.0 á Eugenio Aldever. En leer: i.° á Lázaro de Prados* 2.0 á Josef Sánchez. En gramática castellana á Vicente Dí…</t>
  </si>
  <si>
    <t>Bueno, Juan Josef López</t>
  </si>
  <si>
    <t>Juan Josef López Bueno</t>
  </si>
  <si>
    <t>…subdi visiones de las letras en sus diferentes sonidos, y en el conocimiento de las notas ortográficas y su uso; concluyendo con un discurso que pronunció el profesor de latinidad D. Juan Josef López Bueno, en el que manifestó la ne cesidad de la pureza y exactitud, tanto en el lenguagecomo en la ortografía. Después de esto el dhj 2 del mes siguiente presentó el catedrático de lati nidad y retórica D. Juan Josef López Bueno 14 de sus alumnos , que dividió en tr…</t>
  </si>
  <si>
    <t>Bueno, Lorenzo</t>
  </si>
  <si>
    <t>Lorenzo Bueno</t>
  </si>
  <si>
    <t>…la publicación de algunas inscripciones que se hallan en las salas del Real alcazar, son muy apreciables, y sirven para ilustrar la historia- Véndese á 4 rs. en Segovia, tienda de D. Lorenzo Bueno, y en Madrid en la librería de Sanz, calle de las Carretas. ' Ensayo de un poema épico á la gloriosa lucha sostenida por la nación española eii defensa de sus mas sagrados derechos y los de su augusto Soberano Fernando vir, dividido en dos cantos; dedicado y…</t>
  </si>
  <si>
    <t>Bueno, Salvador</t>
  </si>
  <si>
    <t>Salvador Bueno</t>
  </si>
  <si>
    <t>…y exponer su derecho; con apercibimiento que de no hacerlo Ies parará el perjuicio que haya lugar. Se solicita saber el. paradero de Doña María Lor^to Bueno y Monterrosó, hija de D. Salvador Bueno y de Doña María Monterroso, naturales de la ciudad de Ecija, ó de sus hijos en caso de su fallecimiento , mediante á tener en la villa de Bornós, arzobispado de Sevilla, parte de una herencia que se halla en poder delps demás he rederos, y qué se presentarán…</t>
  </si>
  <si>
    <t>Bueno, Tomás</t>
  </si>
  <si>
    <t>Tomás Bueno</t>
  </si>
  <si>
    <t>I034 , pul os, también por doctrinará D. Tomás Bueno por leer; á D. Juan Arenaxa por escribir; á D. Pablo de Argote por aritmética; á D. Julián Gamarra por ortografía y gramática castellana; á D. Venancio de $agarnaga y Don Faustino ae Ampuaia por buena conducta; á D. Josef de Puente en la clase de menores y de…</t>
  </si>
  <si>
    <t>Buera, Valero</t>
  </si>
  <si>
    <t>Valero Buera</t>
  </si>
  <si>
    <t>…de Constantinopía 26 de Marzo» En los últimos 15 dias han salido de este canal para el mar Nsgro tres buqués españoles que han invernado en este puerto, entre ellos el jabaque del capitán Valero Buera, y están próximos á partir los dos que han llegado últimamente de Mahon, pertenecientes á la casa de Escudero. En el uno de ellos, que es el bergantín Quirnet de 316 toneladas, ha ve nido de pasagero el Chans Sidi Mehémet, que en el mes de Diciembre del año p…</t>
  </si>
  <si>
    <t>Buisckes.De</t>
  </si>
  <si>
    <t>…sto del distritode Cheribon. , ; , &gt; La insurrección mucho mas seria que hubo e/i lasdslas, de Amboina puede considerarse corno ya extinguida por las medidas eficaces * del contra-almirante Buisckes.De los promotores de ella unos han muerto en la toma de la plaza de Hanrecko, y otros, habiendo sido hechosrprisioneros en Saparoca, están ya entregados á la, justicia , con lo; cual los ^alucinados que se dejaron, extraviar han vuelto á aquietarse,; yestan4en .…</t>
  </si>
  <si>
    <t>Buiskes</t>
  </si>
  <si>
    <t>Ntim. 69. cuartos. J GACETA DE MADRID DEL MARTES 9 DE JUNIO DE 1818. ASIA. Batavia 20 de Diciembre. El více-almirante Buiskes ha dirigido al Gobierno general de la India ho landesa un oficio que contiene el pormenor de las operaciones egecutadas con tra los insurgentes de las islas Molucas. Después de haberse visto este vice-almirante obligado á detenerse por fal ta de viento junto…</t>
  </si>
  <si>
    <t>Bullido, Andrés</t>
  </si>
  <si>
    <t>Andrés Bullido</t>
  </si>
  <si>
    <t>…ujo de cabezas: premio i.° á D. Inocente Martin Rubio,. 2.0 á D. Lorenzo de Francisco En extremos á D. Manuel de Peralta Malo. En perfiles mayores: i.° á D. Patricio Fresno, 2.0 á D. Andrés Bullido; En per files menores á D. Antonio de Castro. Em aritmética. á. D;. Blas Crespo..</t>
  </si>
  <si>
    <t>Bullosa, Santiago</t>
  </si>
  <si>
    <t>Santiago Bullosa</t>
  </si>
  <si>
    <t>…al exterminio ó reducción, paso á manos de "V* S. dos copias de los partes originales de «5 y 28 del mes actual , que me ha di rigido el comandante militar del pueblo de Tihuatlan D. Santiago Bullosa, suptenienté de estas milicias, relativos á lhs operaciones que han practicado 'en e¿ta ocasión las tropas de aquel pequeño destacamento en las lomas del</t>
  </si>
  <si>
    <t>…rancisco Sañudo y D. Pedro! Antonio Blasco; los teñiéntes P. Josef'Llórente, D. Josef Miguel Fernandez, D; Juan Bautista Vid al y D. Salvador García del* Corral’; los subtenientes D. Santiago Bullosa y Don Marcos Domínguez ; sargentos primeros distinguidos D. Mariano Sabas de la Peña, D. Josef Arostegui y D. Francisco Ruibal; sargentos primeros Lázaro Muñoz y Manuel del Rosario; idem segundo Rafael Nolasco.; cabos prime ros Dionisio Mar 6 Isidoro Malerva; ídem segundo Tosef Ant…</t>
  </si>
  <si>
    <t>Bullósjr, Santiago</t>
  </si>
  <si>
    <t>Santiago Bullósjr</t>
  </si>
  <si>
    <t>937</t>
  </si>
  <si>
    <t>…é á V. S. muchos años. Campamento en el pueblo Nuevo dé Tépecintla Enero 30 de i8i8. = Gárlos Mana Llórente.srSr¿ brigadier Don Diego García Conde.” n: ' n / Partes delsubteniente D. Santiago Bullósjr. ■ í . ... - i.° ,,La mañana del 23 del corriente despaché al cabo segundo de la»ter cera compañía de esta - segunda división Vicenté' Silva Con rif ,tiradores para ■que penetrase en los montes del Ixtle por si encontraba á ÍOS&gt; rebeldes, que -hace muchos dia…</t>
  </si>
  <si>
    <t>Bülnes, Juan de Dios</t>
  </si>
  <si>
    <t>Juan de Dios Bülnes</t>
  </si>
  <si>
    <t>…or ascenso de D. f Josef Vivero á la dignidad de chantre de la misma: la dignidad de tesorero de? la santa iglesia catedral de Arequipa, vacante por muerte de D. Juan de Unzas , á D. Juan de Dios Bülnes: la canongía que este deja á D. Josef Valdés y Velasco; y la ración que resulta vacante á D. Josef de Novoa y Parga: últimamente la ración que ha quedado vacante en la santa iglesia catedral de Durango- por fa llecimiento de D. Francisco de Paula Balda á D. P…</t>
  </si>
  <si>
    <t>BUnco, Josef Sábaü y</t>
  </si>
  <si>
    <t>Josef Sábaü y BUnco</t>
  </si>
  <si>
    <t>…- &lt; ; - * Colecciontde retratos de los Reyes de España, dispuestos para servir en la nueva edición dé la Historia de España escrita por el P. Juan de-Mariana, que publica el £&gt;f. D. Josef Sábaü y BUnco,individúo de la Real academia de la Historia. Se ha llan de venta, á real y medio cadW üno, los pertenecientes:á los tomos 4.^ y 5.% y sucesivamente se hallarán los .de los gestantes tomos, según Sé publiquen , en la iinprenra de Fuentenebro, calle de Jacomet…</t>
  </si>
  <si>
    <t>Burgo, Manuel del</t>
  </si>
  <si>
    <t>Manuel del Burgo</t>
  </si>
  <si>
    <t>1222</t>
  </si>
  <si>
    <t>…previene, sin; irni. permitir $£ vaya» contra sai tenor y forma en manera albina: que asi es mi voluntad se egecufóy. Dada en Palacio á 10.de Noviembre de i8i8.=s YO. EL RÉY.== Yq D. Manuel del Burgo, secretario del Rey nuestra Se ñor,/ la hice escribir por su mandado/’ '</t>
  </si>
  <si>
    <t>Burgués, Francisco</t>
  </si>
  <si>
    <t>Francisco Burgués</t>
  </si>
  <si>
    <t>…n cedieron la parte pecuniaria del premio D. Narciso Marqués y Doña Francisca Marti de Pando. Habiendo ocupado los premiados el lugar distinguido según costumbre, el niño premiado D. Francisco Burgués recitó una oda dando las gracias á nombre de sus compañeros, y lo mismo practicó por las niñas Doña Josefa Sebastiá. Después de lo cual el niño Vi cente Favía y la miña María Perez, de la casa de Beneficencia , recitaron el primero una canción en acción de gr…</t>
  </si>
  <si>
    <t>Burkhard, Gedeon</t>
  </si>
  <si>
    <t>Gedeon Burkhard</t>
  </si>
  <si>
    <t>…pasado de todos los puertos de Rusia para diversos.estados;de Europa. - . - • Se ha recibido del Cairo la noticia de haber fallecido allí de disenteria Mr. Luis Burkhard, hijo del coronel Gedeon Burkhard, de Basilea. Mr. Luis, que era un sugeto muy activo y emprendedor, hallándose en Inglaterra ofreció sus servicios á la sociedad inglesa que se ocupa en fomentar los descu brimientos en el interior del Africai Después de haber aprendido varios idio mas, y adqu…</t>
  </si>
  <si>
    <t>Buscallá, Jaime</t>
  </si>
  <si>
    <t>Jaime Buscallá</t>
  </si>
  <si>
    <t>…r la escribanía de su número que egerce D._ Juan Raya, y está señalado para el remate el dia 3 de Febrero próximo, á la una, en la audiencia del mismo señor. Habiéndose presentado D. Jaime Buscallá, del comercio de esta corte, bajo del amparo judicial, solicitando que sus acreedores le concedan espera para pagarlos, se los convoca á junta, que se ha de celebrar el día 23 de Enero próximo venidero , á las nueve, en la posada del Sr. D. Angel Fernandez de…</t>
  </si>
  <si>
    <t>Bustamante, Anastasio</t>
  </si>
  <si>
    <t>Anastasio Bustamante</t>
  </si>
  <si>
    <t>…Elua y D. Manuel Martin Alvarez, y los subtenientes D. Tiburcio de Cañas, D. Antonio Tuya, D. Ma nuel Sánchez Trívino y D, Martin de Santiestéban, heridos. Dragones de S. Luis: el capitán D. Anastasio Bustamante herido. Dragones de S. Carlos: el capitán D. Manuel Linares herido de gravedad. Segunda sección: bata llón ligero voluntarios de Navarra: el teniente D. Josef María Fierto y el ca dete D. Juan Paule, muertos: el capitán D. Fernando Puertas y el subte niente D…</t>
  </si>
  <si>
    <t>…que, formando la derecha dragones fieles de S. Luis y los de Frontera, en el centro la infantería, y la izquierda los dragones de Sierragorda y S. Luis, á las órdenes del teniente coronel D. Anastasio Bustamante, con mas la compañía de granaderos de Zaragoza para que le protegiera ea caso necesario. De reserva nombré los piquetes de infantería de la Corona y Celaya, caballería de Provincias y dragones de S. Cárlos y Querétaro al car go del capitán D. Josef María More…</t>
  </si>
  <si>
    <t>…rrera, D. Ignacio Romero Pando y *D. Manuel González , al féreces D. Melchor Armenteros, D. Apolinario Rodea y D. Miguel Rodrí guez. Dragones de S. Luis: teniente coronel graduado D. Anastasio Bustamante, capitán graduado D. Felipe Mendez, teniente D. Manuel Muñoz, al féreces D. Pedro de Legarreta y D. Feliciano Guerra, y cadete D. Nicolás Gutiérrez. Dragones de Querétaro: alféreces D. Josef Frias, D. Manuel Arre ta y D. Mauro Camocho. Dragones deS. Carlos: c…</t>
  </si>
  <si>
    <t>…graduados D. Pedro Ana ya, D. Luis de la Carrera y D. Ignacio Romero Pando; alféreces D. Apolinario Rodea y D. Miguel Rodríguez. De S. Luis: capitán graduado de teniente co ronel D. Anastasio Bustamante; capitán D. Andrés Huete; teniente D. Josef Gaitan; alféreces D. Juan Lesaca y D. Feliciano Guerra. De S. Carlos: ca pitán D. Domingo Ugarte; alféreces D. Cesáreo Medellin y D. Mariano Mondragon. Fieles de S. Luis: capitán graduado de teniente coronel D. Ni c…</t>
  </si>
  <si>
    <t>…ones del servicio. ,,Dios guarde á V. E. muchos años. Irapuato Abril 30 de r818. = Exce lentísimo Sr. = Antonio de Linares. = Exento. Sr. virey D. Juan Ruiz de Apodaca.” Parte del coronel D. Anastasio Bustamante. ,,Ayer á las tres de la tarde ine ha atacado en el rancho de los Frijoles el P. Torres con una reunión de 1400 hombres, según confesión de 20 prisione ros que tenemos en nuestro poder, á los cuales derroté y perseguí por mas de tres leguas, quedando en el ca…</t>
  </si>
  <si>
    <t>Bustamante, Angel de</t>
  </si>
  <si>
    <t>Angel de Bustamante</t>
  </si>
  <si>
    <t>…posible brevedad; lo que se avisa al público para su inteligencia y gobierno. En consideración á los apreciables servicios y cuantiosos donativos pecu niarios hechos al Estado por D. Angel de Bustamante, minero en el Real de Batopilas, provincia de Durango en las internas de Nueva-España, se ha servido S. M. dispensarle del pago de lanzas y medias anatas para sí, sus hijos, herederos y sucesores del título de Castilla con la denominación que ha tomado de viz…</t>
  </si>
  <si>
    <t>Bustamante, Joaquín de Castillo y</t>
  </si>
  <si>
    <t>Joaquín de Castillo y Bustamante</t>
  </si>
  <si>
    <t>…. Continuación de los partes de Nueva-JE ¿pana. Oficio del brigadier y comandante general ID. Ciríaco de Llano. „Excmo. Sr.: Con fecha de 17 del corriente me dice desde Córdoba el brigadier D. Joaquín de Castillo y Bustamante lo que copio: „ Consecuente con el parte que di á V. S. el 14 del presente relativo á la prisión del coronel de rebeldes Ignacio Samaniego, por la división que des paché al mando del teniente coronel graduado del batallón de Castilla Don</t>
  </si>
  <si>
    <t>Bustamante, Manuel de Queyedo</t>
  </si>
  <si>
    <t>Manuel de Queyedo Bustamante</t>
  </si>
  <si>
    <t>…n los Sres. D. Bruno Verges y D. Blas Tabiel'Andrade, vecinos que fueron de esta corte, con* su; hijos ó he rederos, podrán acudir los que existan al comisario honorario de Guerra D. Manuel de Queyedo Bustamante, plazuela del Angel, niim 19, cuarto segundo. El consulado de la.villa de Bilbao ha establecido con Real aprobación cuatro es cuelas gratuitas, una de matemáticas con aplicación al comercio, dotada en 9® rs. de vn. anuales, y obligación de enseñar dos horas e…</t>
  </si>
  <si>
    <t>Bustamante.’, Joaquín de Castillo y</t>
  </si>
  <si>
    <t>Joaquín de Castillo y Bustamante.’</t>
  </si>
  <si>
    <t>…as, haciéndose por lo tanto los oficiales y tropa acreedores á ser recomendados á V. S. „Dios guarde á V. S. muchos años. Córdoba 16 de Setiembre de 1817; = Sebastian Ramos. = Sr. brigadier D. Joaquín de Castillo y Bustamante.’* S. E. ha dispuesto que los efectos de iglesia de que trata este parre se devuelvan á las en que hayan sido robadas si se supiere cuales sean, y de lo contrario que se depositen en las Reales cajas. téícuco. Parte del comandante y subdelegado D. Antonio de El…</t>
  </si>
  <si>
    <t>Bustamente</t>
  </si>
  <si>
    <t>…os ins tantes de mi movimiento se vinieron encima de nuestra izquierda y retaguar dia mas de 600,, los que fueron recibidos con el mayor valor por la tropa que mandaba el teniente coronel Bustamente; lo que observado por mi, man de que toda la fuerza que tenia de reserva á las órdenes del capitán Móreno fuera con la mayor violencia á protegerle. A continuación recibió también fa derecha y centro muy cerca ae 1© bandidos, los que fueron rechazados con igu…</t>
  </si>
  <si>
    <t>Bustillo, Manuel Gutiérrez de</t>
  </si>
  <si>
    <t>Manuel Gutiérrez de Bustillo</t>
  </si>
  <si>
    <t>…or haber variado el tiempo , las calenturas estacionales de la Coruña. , El Rey se hadignsofa nombrar para la regencia dé la chaneillería de Va* Nadolíd, vacante por jubilación de D. Manuel Gutiérrez de Bustillo, á l&gt;on Miguel Antonio Blanes , regente dé Astárías ; para esta regencia a D. Jacobo Teijtir'ó, oidor efe la audiencia dW la Coruña , y para la de este tribunal á Don J-tiatr López dé Virítíes*,’que servia la de Mallorca. Asimismo se ha servido S. M. conceder…</t>
  </si>
  <si>
    <t>Bustillos, Agustín</t>
  </si>
  <si>
    <t>Agustín Bustillos</t>
  </si>
  <si>
    <t>…onde fogueaban á la tropa, partieron á desbaratarlos el citado te niente coronel Díaz, el cápitan Armijo y alférez D. Sebastian Montealvo, verificándolo á continuación el teniente coronel D. Agustín Bustillos, con lo que se logró dispersarlos enteramente, quedando en nuestro poder las armas, parque y demas que aparece en la adjunta nota. : ,, Para manifestar a V; E. el brillante distinguido mérito qué tienen con traído los oficiales y tropa que concurrieron á tan…</t>
  </si>
  <si>
    <t>Butel</t>
  </si>
  <si>
    <t>…a de Sicilia, una gaceta oficial con el título de gaceta del Gobierno de Malta, en cuyo ultimo número de los que han llegado á nuestras manos se lee el artículo siguiente: ... „Ei caballero Butel, queriendo dar un testimonio público de su recono cimiento , y adhesión al trono augusto, al cual tiene la honra de servir, hizo celebrar el 21 de Enero el aniversario de la muerte de S. M. Cristianísima Xuis xvi con un solemne oficio de difuntos en la iglesi…</t>
  </si>
  <si>
    <t>Butragueño, Bernardo</t>
  </si>
  <si>
    <t>Bernardo Butragueño</t>
  </si>
  <si>
    <t>…10, tÍ), Pedro Goitzalez/.i A J), JosefrtMaríf Monserrafe^D* Josef, María Mu A Josef Ramo» ro 2, D. Esteban de Ponte í^anciscq^Sosajarrera j Zúlüeta i, 13. Miguel Salzaineridf5’,* D. Bernardo Butragueño 3, D. Bemarr?</t>
  </si>
  <si>
    <t>Butrón, Josef María</t>
  </si>
  <si>
    <t>Josef María Butrón</t>
  </si>
  <si>
    <t>…niendo la tropa en un cerrito ¿ la izquierda de Chepe, donde formé la infantería protegida por mi guardia de honor que sostuve, acompañado de mi mayor general teniente de fraga ta D. Josef María Butrón, el subteniente D. Luis Vilches, y el de la misn ma clase D. Josef XJgarte: en esta forma emprendí mi retirada con el ma-* yor orden , y solo tres cañones que hice conducir tirados por mis soldados, sin saber donde dejaron el otro los mismos que lo servían, s…</t>
  </si>
  <si>
    <t>C, M. A. de</t>
  </si>
  <si>
    <t>M. A. de C</t>
  </si>
  <si>
    <t>…remios, y en Santiago á la de Rey Romero. En ambas casas está abierta la suscripción. • ' Colección de varias heroidas traducidas libremente de los mejores autores france ses, por D. M. A. de C.: 2 tomos en 8.° Se venden en Madrid en lá librería de Pé rez , y en Cádiz en la de Hortal. Esta obra presenta una lectura tan agradable por Ja belleza de sentimientos que encierra, y el mérito de la versificación, como útil por las lecciones de moral y saluda…</t>
  </si>
  <si>
    <t>C, R.</t>
  </si>
  <si>
    <t>R. C</t>
  </si>
  <si>
    <t>…r di cha plaza. j Relación circunstanciada de la última campaña de Bonaparte, terminada por la batalla de Mont-Saint-Jean, llamada también de Waterloo; traducida al castellano por D. R. C.: un tomo en 8.° con dos planos, de los cuales el uno presenta el con junto de las operaciones, y el otro las disposiciones particulares de la batalla.. Estaobra, que se puede considerar como la continuación de la célebre obra de La Beaumé sobre la campaña de…</t>
  </si>
  <si>
    <t>C, R. Y.</t>
  </si>
  <si>
    <t>R. Y. C</t>
  </si>
  <si>
    <t>…de Medicina legal, y de Higiene pública, escrito en francés por el ciudadano Francisco Manuel Foderé, mé dico del hospital de Caridad de la ciudad de Marsella, y traducido por J. D. R. Y. C. ocho tomos, se hallarán en la librería de Castillo. EN LA IMPRENTA REAL.</t>
  </si>
  <si>
    <t>C, Vicente García</t>
  </si>
  <si>
    <t>Vicente García C</t>
  </si>
  <si>
    <t>…ritos inteligentes se ha practicado en 24 de Noviembre de ib 17. Quien quisiere hacer postura á dicha dehesa y cerca acuda dentro déi término refe rido al juzgado de provincia del Sr. D. Vicente García C i vero, del Consejo de S. M., su alcalde de Casa y Corte,por la escribanía de D. Mauricio Justo del Rin cón, que se les admitirá siendo arregladas. ' iv En virtud de providencia del Sr. D. Joaquín Almazari, del Consejo de S. M., teniente corregidor de está mu…</t>
  </si>
  <si>
    <t>Ca</t>
  </si>
  <si>
    <t>…de capitán , se le dio la ílobléza petsonal, y el grado de teniente co ronel en el batallón de Barinas dónde sirve. i •Milicias de pardos de Valencia. Capitanes: D. Ramón Hidalgo, D. Ca simiro Colon , D. Fermín Pedraza y D. Pedro María. Tenientes: D. Hilario Nogueras , D. Antonio Rodríguez y D. Josef Amador han sido confirmados en sus empleos, y obtenido la nobleza personal. '■ Capitanes de las guerrillas de Barinas. D. Francisco Xavier Palm…</t>
  </si>
  <si>
    <t>…íses-Bajos; Mr. de Rayneval, consejero de Estado , director de la cancillería del departamento de los Negocios extrangeros de Francia ; el barón Mounier, consejero de Estado ; el. conde Ca*, raman, primer secretario de embajada en Londres; el conde de Nesselrcn de, secretario de Estado de S. M. -Nel Emperador de/Kusia; el conde Capo d’Istria, secretario de Estado del mismo Emperador; el príncipe Menzicotfj Mr. de Witzieben, mayor general y ayud…</t>
  </si>
  <si>
    <t>Caamaño, Andrés</t>
  </si>
  <si>
    <t>Andrés Caamaño</t>
  </si>
  <si>
    <t>…rios de Araon ; y para las ayudantías de Tarifa, Cádiz y Sta. Isabel de los Pasages á &gt;. Ildefonso de la Cruz, teniente del regimiento de infantería de Extremaduf ra , al teniente coronel D. Andrés Caamaño, capitán del regimiento de infan tería de Jaén, y á D. Francisco Bermudez, teniente del de B.irboq. En América. El gobierno de los Llanos, en el NuevoReino de Granada, ál teniente coronel D. Juan Vicente de Salazar , secretario del gobierno y ca¿ pitanía gene…</t>
  </si>
  <si>
    <t>Caballero, Josef Alvarez</t>
  </si>
  <si>
    <t>Josef Alvarez Caballero</t>
  </si>
  <si>
    <t>…elogio que escribió eiKlatín de Antonio de Lebrija , y que acompañado de la traducción en castellano publicó en 1816 el catedrático de latinidad de los Reales estudios de Sevilla D. Josef Alvarez Caballero, que había sido su competidor en la oposición á la cátedra de Lebrija , no tardó 'en dar pruebas ¿fe esto* mismo y de su zelo y buen mé todo de enseñanza , presentando en 22 de Julio de 1816 á publico examen á varios desús di cípulos, que manifestaron complet…</t>
  </si>
  <si>
    <t>Caballero, Manuel Felipe</t>
  </si>
  <si>
    <t>Manuel Felipe Caballero</t>
  </si>
  <si>
    <t>…D. Rafael Grana dos, príncipe de la doctrina cristiana, y D. Martin Saenz, de Lebrija: Don Fraiieised1 González y D. Josef Martínez , de Sanlucar de Barrameda : D'. Josef Moreno, D. Manuel Felipe Caballero, D* Gaspar Angulo, D. Josef Gó mez Hormigo y D. Francisco Rodríguez, de Jerez : D. Josef Auñon, de Mo ren : D. Juan Aguado, de las Cabezas: el hermano Josef de la Cruz Menacho, de Puerto-Real: D. Juan Loustalet, de Cádiz: D, Agustín Fernandez, de Bornos: D. J…</t>
  </si>
  <si>
    <t>Caballero, María Catalina</t>
  </si>
  <si>
    <t>María Catalina Caballero</t>
  </si>
  <si>
    <t>…riba nodje provincia D. Valdomero Moraleda &gt;~se cría, Mamá; v em-plaza a todas y cualesquier personas que se crean con derecho á los bienes quedados por fallecimiento intestado de Doña María Catalina Caballero, natural de la ciudad de PJasencia, y. vecina que fue de esta corte, para que en el término de 15 das com parezcan ante dicho señor y escribanía de provincia, por si ó por medio de procura dor con poder bastante á decir de su justicia; con apercibimiento que…</t>
  </si>
  <si>
    <t>Cabarrüs, O. Francisco</t>
  </si>
  <si>
    <t>O. Francisco Cabarrüs</t>
  </si>
  <si>
    <t>…Juan Ramí rez, en consideración á sus distinguidos servicios . Por providencia del alcalde decano de fa Real Gas» y Corte el Sr*. D. Tádeo Soicr ,juez' de da' tes tamcn caria. del Sr. O. Francisco Cabarrüs . conde de este título se ‘■••«i* rt “• .«-í</t>
  </si>
  <si>
    <t>Cabrera, Agustín</t>
  </si>
  <si>
    <t>Agustín Cabrera</t>
  </si>
  <si>
    <t>…el tercero por el .teniente coronel D. Henrique Ballesteros, espitan del batallón ligero prime ro de Cataluña, siendo ayudante del coronel D. Josef de Velasco el capitán graduado D. Agustín Cabrera, teniente del regimiento infantería 4e Galicia. : Otra. De la tropa que resulta disponible á los regimientos; de Galicia, CataluñaEspaña, Valencia, escuadrón dé Santiago, y el de voluntarios de España, que son los cuerpos destinados al servicio def cordon, se…</t>
  </si>
  <si>
    <t>Cabrera, Francisco</t>
  </si>
  <si>
    <t>Francisco Cabrera</t>
  </si>
  <si>
    <t>…o, 12 cabos y soldados: Cambrils j 1 oficial., 2 sargentos, 30 cabos y soldados: Vüafortuñ, 1 sargento, 13 cabos y soldados: Vilaseca, 1 oficial, un sargento, 17 cabos y soldados: D. Francisco Cabrera , capitán He voluntarios de * Tarragona, inspector de estas partidas : el coronel D- (Josef: Sallent,. teniente ■ coronel agregado al regimiento infantería de Aragón, gefe de estos distritos. Sa lón , 1 oficial, 2 sargentos, 30 cabos y soldados: Tarragona, 1…</t>
  </si>
  <si>
    <t>Cabrera, Juan</t>
  </si>
  <si>
    <t>Juan Cabrera</t>
  </si>
  <si>
    <t>…rquiza, que hallándose con su compañía avanzado, sostuvo un vivo fuego y las posiciones; hasta que fue auxiliado, y ha salido gravemente herido; á los tenientes Don Ramón Momos y, D. Juan Cabrera: á los subtenientes D. Luis Díeguez, que salió Jierido, D. Juan González y D. Alejandro García: á los sargentos pri meros de Castilla Francisco Saurco y Pedro González, y el segundo Fran cisco. Re umet :.á los cabos Bernardo.Perez,.Francisco Prieto, Braulio L…</t>
  </si>
  <si>
    <t>Cabrera, Tomas Blanco</t>
  </si>
  <si>
    <t>Tomas Blanco Cabrera</t>
  </si>
  <si>
    <t>56</t>
  </si>
  <si>
    <t>…que pudiese llegar á la orilla opuesta al mismo tiempo que se pre sentase el grueso de mi egército. ,, Acordé asimismo con el comandante de la división marítima , capita* de navio D. Tomas Blanco Cabrera, que al amanecer del 5 destacase las; lanchas de los buques de S. M. al mando de su segundo el teniente de navio X&gt;. Lu is Pardo, para llamar la atención al destacamento enemigó situado en Penco el viejo. . ‘» ,,Gon esta disposición dirigí mi marcha á las tre…</t>
  </si>
  <si>
    <t>…erseguidores.” Siguen otras recomendaciones de los sugetos que se distÍnguieronvpartici2fermente en esta acción, y fueron los siguientes: . . El capitán de navio de la Real armada D. Tomas Blanco Cabrera: los tenientes de navio D. Luis Pardo y D. Simón Londoño: el alférez de navio D. Pedro Fernando Tavira: los tenientes coroneles D. Juan Josef Campillo y D. Josef Alejandro: los capitanes graduados de tenientes coroneles D. Ra món de Amagada y D. Bartolomé Hen…</t>
  </si>
  <si>
    <t>Cabrerizo, Mariano de</t>
  </si>
  <si>
    <t>Mariano de Cabrerizo</t>
  </si>
  <si>
    <t>…n por sí ó por medio de apoderado; con’ apercibimiento de que al que no compareciere le parará el perjuicio que haya lugar. Los suscriptores á la colección de novelas que da á luz D. Mariano de Cabrerizo» de Valencia, acudirán á recoger la primera entrega, que contiene el Picaro de opi nión ó Anita y Waldenbrug, adelantando 17 rs. por la segunda, á la librería de Calleja, calle de las Carretas, y en las provincias en las librerías donde hayan sus crito, en la…</t>
  </si>
  <si>
    <t>Cadalso, Josef</t>
  </si>
  <si>
    <t>Josef Cadalso</t>
  </si>
  <si>
    <t>…rade ra. Se hallará con las anteriores en la librería de Martínez, frente’á S. Felipe el Real, en donde también se venden sueltos los números correspondientes á cada mes. Obras de D. Josef Cadalso , comandante de escuadrón del regimiento de Borbon, y caballero del hábito de Santiago: tres tomos erfB.0 mayor. Esta nueva edición nó solo comprende todas las obras del autor conocidas y apreciadas hasta ahora por el publico , sino algunas otras inéditas que…</t>
  </si>
  <si>
    <t>Cadena, Josef Ramón</t>
  </si>
  <si>
    <t>Josef Ramón Cadena</t>
  </si>
  <si>
    <t>…ana, lectura, escritura, aritmética, gra mática y ortografía castellana, sobresaliendo todos á porfía en el desemba razo y propiedad de las contestaciones ; pero sobrepujó á todos D. Josef Ramón Cadena, de edad de once años, que después de haber contestado perfectamente i todas las preguntas de la teórica, y ganado con la práctica el primer premio de escritura, hizo unegercicio de gramática castellana que admiró al concur so. Los otros cinco premios recayer…</t>
  </si>
  <si>
    <t>Cafranga, Josef Joaquín Ferrer y</t>
  </si>
  <si>
    <t>Josef Joaquín Ferrer y Cafranga</t>
  </si>
  <si>
    <t>…satisfacción del interesado* El 17 de Mayo último falleció en Iá villa de Bilbao, á los 51 años dé edad,-de resultas de. una enfermedad inflamatoria que sufrió durante cinco dias* D. Josef Joaquín Ferrer y Cafranga, natural de la villa de Pasages, provincia de Guipúzcoa, miembro de la sociedad filosófica de los EstadosUnidos de America, socio .correspondiente de la Real academia de la historia esta capital ,.,cíe la de ciencias de’ Francia y otras, y uno de los mas la b…</t>
  </si>
  <si>
    <t>Caídos</t>
  </si>
  <si>
    <t>…e S. Isidro la venerable efigie del; Santo Rey Fernando, patrono de la orden,5 y dispuesto todo lo necesario para solemnizar tan religioso acto, S. M. y los Sermosi Sres. Infantes D. Caídos y D. Francisco se sirvieron pasar al expre-; sádo templó, en dónde se formó el cápítulo compuesto cíe 98 caballeros , exal tando el . jubiló de que estaban llenos sus cprazónes ,1a agradable, presencia de&gt; la Reina nuestra Señora y Seriná. Sra; Irífanta Doña María -Francisc…</t>
  </si>
  <si>
    <t>Caílau, Josef Mariano</t>
  </si>
  <si>
    <t>Josef Mariano Caílau</t>
  </si>
  <si>
    <t>…Cruz de la Sierra; D. Josef Antonio Ortiz, cura coadjutor de la misión de Porongo; D. Josef Andrés Salvatierra, cura interino de S. Pedro de Buena vista, arzo bispado de Charcas; D. Josef Mariano Caílau, cura de Santiago ¿ provincia de Chiquitos; D. Francisco Xavier López, cura de S. Rafael en dicha pro vincia ; D. Juan Lorenzo de Limpias, ex-cura de dicha provincia. x Seculares. D. Lorenzo Moreno, abogado de la Real audiencia de Charcas; Doña María Mercedes…</t>
  </si>
  <si>
    <t>Cajiga, Manuela de Herrera</t>
  </si>
  <si>
    <t>Manuela de Herrera Cajiga</t>
  </si>
  <si>
    <t>-'habidt ea su primer matrimonio con Dolía María Ana de Paíazuelosj Doña Manuela de Herrera Cajiga, habida en su segundo con Doña Margarita de la Caji«¿ ga; D. Roque y D. Santiago de Herrera y Cevallos, habidos en su tercero y último matrimonio con Doña María de Cevallos; de la cual, en vista de la aprobación que ¿de ella &gt;se pidió por D. Francisco Josef F…</t>
  </si>
  <si>
    <t>Calabria, Julio Ruffo de</t>
  </si>
  <si>
    <t>Julio Ruffo de Calabria</t>
  </si>
  <si>
    <t>…misionados al efecto, que lo fueron de la una parte-el Señor D. Josef García de León y Pizarro, consejero de Estado, v Secretario enton ces del despacho de Estado; y de la otra él Sr. D. Julio Ruffo de Calabria, príncipe de Scillá, Ministro Plenipotenciario , y embajador extraordinario de S. M. Siciliana cerca del Rey nuestro Señor. S. M. lo comunicó á los Conse jos por medio de un decreto con fecha de 4 de este mes, y se publico^ en ellos, habiéndose circulado segú…</t>
  </si>
  <si>
    <t>Calatayud, Luis</t>
  </si>
  <si>
    <t>Luis Calatayud</t>
  </si>
  <si>
    <t>…Cádiz-, D¿ Melthor-Pascual Calata-* yud, Doña María Teresa Lisperguer, arciprestazgos del obispado de Sigüenza, orden de'S. Juan, villa de Castel-Dasens, corregimiento de Lérida, D. Luis Calatayud, y conde de Sirat, D. Diego Raimundo Seguí, D.Bernard,ino Luis de Ardena y Darmus, D. Antonio de Villalbá, y D. Pedro de Ribero. Lo que se avisa de orden del,, Consejo para qué los respectivos interesados en los mencionados papeles acudan, si les conviniese ,…</t>
  </si>
  <si>
    <t>Calderón, Angel</t>
  </si>
  <si>
    <t>Angel Calderón</t>
  </si>
  <si>
    <t>…tojo; y después de estos Jos-Sres. D. Joaquín Blake y.subteniente áspiránte al ¿Real cuerpo de ingenieros., D* Manuel Pose, alférez del Real cuerpo de&lt;ii*± genieros ae la Armada, D. Angel Calderón de la! Barca, D. Manuel Domingo de Urquiza, D. Francisco García, D. Antonio Castro, D. Josef Belda, D. Jo sef Casado, y D. Luis Cifuentes, oyente. u ó Los examinadores nombrados por S. Ar R. fueron los1 Srés. D. Tgnacid Jáuregui, primer médico de CámaradeS.M.…</t>
  </si>
  <si>
    <t>Calderón, Pedro</t>
  </si>
  <si>
    <t>Pedro Calderón</t>
  </si>
  <si>
    <t>…estampas que se hallan de venta en la calcografía de la im prenta Real,zz:jEn medio pliego de marca, mayor, zzzTercero: Hernán Cortes, Garcilaso de la Vega, D. Alonso de Ercilla, D. Pedro Calderón de la Barca, Miguel de Cervantes Saavedra, y D. Josef Patino: 4.a D. Antonio Agustín, D. Sancho Davila, D Juan de Austria, D. Alvaro de Bazan , Antonio de Nebrija, y Pedro Me»nendez de Aviles: 5.0 D. Juan de Austria, Fr. Luis de Granada, Martin de Azpilcueta,…</t>
  </si>
  <si>
    <t>Calleja, Josefa</t>
  </si>
  <si>
    <t>Josefa Calleja</t>
  </si>
  <si>
    <t>…soldado que parece fue de laprimera compañía del segundo batallón del re gimiento infantería de Murcia, y asistente del capitán D. Vicente Castaños, hijo de D. Manuel (difunto) y Doña Josefa Calleja, su viuda, nieto y heredero de D. Ramón Palacios, cuya testamentaría pende en el juzgado del Sr. D. Josef Cavarn'iles, deíjConsejo de S. M., su alcalde de casa, corte y provincia,)' escribanía de D. Miguel Josef García de la Madrid, ó á los descendientes legí…</t>
  </si>
  <si>
    <t>Calleja, María Micaela Nesbitt y</t>
  </si>
  <si>
    <t>María Micaela Nesbitt y Calleja</t>
  </si>
  <si>
    <t>…patología, dos de ma teria médica, y uno de observaciones físicas, se hallarán en la librería de Matute, calle de las Carretas. Zulimat novela histórica traducida del francés por Doña María Micaela Nesbitt y Calleja. La amenidad é ínteres con que se describen en esta obrita las desgracias de Eberardo, príncipe de Westfalia, y de Leonor, su esposa, las máximas morales que contiene, las raras aventuras y la propiedad con que están escritas, hacen su mamente agradable su le…</t>
  </si>
  <si>
    <t>Calveton, Miguel</t>
  </si>
  <si>
    <t>Miguel Calveton</t>
  </si>
  <si>
    <t>…ta á D. Gregorio Barraicoa, alcalde mayor de.Ocaña ; para el corregimiento de A randa de Duero á D^ Francisco Mafia-Sánchez Castilla', alcalde mayor de Plaseocia; pafa esta vara á D. Miguel Calveton; para la de Menasalbas á D. Veremundo Medrano; para la; dé Orel lana de la Sierra á D. Rafael Ahsaldo ; para la de Castellar á D. Pedro Alcántara Corrales, y para la del cíesJtoblado Casa Castillo y Montes dé A lamín á 0. Gabriel Moy a dé la Torre. 4 Por reso…</t>
  </si>
  <si>
    <t>Calvo, Manuel</t>
  </si>
  <si>
    <t>Manuel Calvo</t>
  </si>
  <si>
    <t>…ez, calle de los Preciados, y en la botica de la Reina Madre, calle de las Platerías; en Zaragoza en la librería de Yagtie , calle nueva del Mercado , y en Granada en la botica de Don Manuel Calvo. EN LA IMPRENTA REAL.</t>
  </si>
  <si>
    <t>Calvo, Ramón Lorenzo</t>
  </si>
  <si>
    <t>Ramón Lorenzo Calvo</t>
  </si>
  <si>
    <t>…de que dentro del preciso término de 30 dias que por primero se les señala, contados desde it del corriente, acudan á dicho juzgado privilegiado, y escribanía del mismo á cargo de D. Ramón Lorenzo Calvo, que lo es de Cámara en dicho supremo Consejo de la Guerra, por sí ó por medio de procurador con poder bastante á deducir y expo ner de su derecho y justicia en los mencionados autos; pues transcurrido que sea di cho término sin haberlo hecho, les parará el p…</t>
  </si>
  <si>
    <t>…ue propone; y son D. Fran cisco Xavier Adell, consejero de Ordenes, para asesor; el Dr. D. Mariano Lafuente y Poyanos, agente fiscal del Consejo de Castilla, para promotor fiscal; D. Ramón Lorenzo Calvo» escribano de Cámara dei Consejo deGjuer-</t>
  </si>
  <si>
    <t>Calvo, Roftian Lorenio</t>
  </si>
  <si>
    <t>Roftian Lorenio Calvo</t>
  </si>
  <si>
    <t>…l preci so término de 10 dias, que por tercero y último se les sépala, contados desde 8 del • á dicho juzgado 'pnriíégiado y escríbahíá del mismo á cargo de ' corriente'”,' acudan D. Roftian Lorenio Calvo, que lo es de Cámara en dicho suprimo'Consejo de la Guerra, por «í ó por medio de procurador con poder bastante á deducir y exponer de su derecho y justicia en los mencionados autos 1 pues ^pasado que sea dicho tér mino sin haberlo hecho, les parará el perjui…</t>
  </si>
  <si>
    <t>Calvo, Román Lorenzo</t>
  </si>
  <si>
    <t>Román Lorenzo Calvo</t>
  </si>
  <si>
    <t>…nto de infantería de Reales Guardias Españolas, para que dentro del preciso término de 30 dias, contados desde esta fecha, acudan á dicho juzgado y escribanía del mismo á casgo de D. Román Lorenzo Calvo, que lo es de Cámara de dicho supremo Consejo de la Guerra, por sí ó por medio de procurador, con poder bastante, á decir y exponer de su derecho y justicia, la que se les admi nistrará en lo que la tuvieren; con apercibimiento que transcurrido dicho término…</t>
  </si>
  <si>
    <t>…añolas , para que dentro del preciso término de 20 dias, contados desde el 2 del corriente, que por segundo se les señala, acudan á dicho juzgado y escribanía del mismo á cargo de D. Román Lorenzo Calvo, que lo es de Cámara de dicho Supremo Consejo de la Guerra, por sí, ó por medio de procurador con poder bastante á decir y exponer 'de su derecho y justicia, la que se les administrará en lo que la tuvieren; con aper cibimiento que trascurrido dicho término s…</t>
  </si>
  <si>
    <t>Calvp, Román Lorenzo</t>
  </si>
  <si>
    <t>Román Lorenzo Calvp</t>
  </si>
  <si>
    <t>…ue de S. M.la augusta Madre del Rey nuestro Señor, para que dentro del prefiso.^rrmlio de 30. dias acudan á djch.o juagado , privife,giadó., y .escribanía del. q&gt;ií&gt;mp á. cargo de D. Román Lorenzo Calvp % que lo es de cámara de dicho supremo Consejo de la Guerra, por sí ó por medio de procurador con poder bastante á promover sus ins* Rancias loa que las tuvieren pendientes, y decir y exponer-de su derecho y justicia los que po las hubieren,promovido; con ape…</t>
  </si>
  <si>
    <t>Calzada</t>
  </si>
  <si>
    <t>…ito D. Josef Nicolás Va lero , dé cuyas manos pudo escapar aquel; pero fue aprehendido en el monté por.el fiel vecino de Bocond D. Pedro Almansa, quien se lo presentó al indi cado coronel Calzada. ,,Todo lo que pongo en noticia de V. S. para su satisfacción y la de los leales habitantes de esa capital. ,, Dios &amp;c. Cuartel general de Valencia 19 de Mayo de 1818. == Pablo Morillo. =: Sr. D. Juan Bautista Pardo.” ; 2.° ,, Teniendo noticias que el rebelde…</t>
  </si>
  <si>
    <t>Calzada, Bernardo María de</t>
  </si>
  <si>
    <t>Bernardo María de Calzada</t>
  </si>
  <si>
    <t>…lementos del arte de pensar: obra aprobada por la junta de dirección de las escuelas palatinas, y aplaudida por célebres universidades: su autor el abate Condillac, tradu cida por D. Bernardo María de Calzada: tercera edición., corregida y aumentada con notas: uh tomo en S.°, á 10 rs. en pasta y 8 en rústica. Enquiridion ó manual instrumento de la salud contra el morbo articular que lla man gota, y las demas enfermedades que por catarro y destilación de cabeza se…</t>
  </si>
  <si>
    <t>Cam, Francisco Salvá y</t>
  </si>
  <si>
    <t>Francisco Salvá y Cam</t>
  </si>
  <si>
    <t>Disertación sobre la explicación y uso de una nueva máquina para agramar cá ñamos y linos, inventada por los doctores en medicina D. Francisco Salvá y Cam pillo y D. Francisco Sanponts y Rosa, socios de la academia médico-práctica de J'a ciudad de Barcelona. La máquina' descrita en esta disertación ,¡ que se imprimió en esta corte en 1784, es á corta diferencia la misma que acaba de publicar como nueva en París…</t>
  </si>
  <si>
    <t>Cama, Camilo</t>
  </si>
  <si>
    <t>Camilo Cama</t>
  </si>
  <si>
    <t>…y por sus buenas disposiciones: lo son también los vecinos principales dél pueblo capitán D. Francisco Delgado, teniente Don Luis.Vieira, administradorde correos D. Corneüo Roaro, D. Camilo Cama» cho, D. AntonioRecalde, D. Manuel Herrero * D. Juan Larrondo y D. Vicente. Arana, por la prontitud con que facilitaron sus sirvientes, armas y caballos. y, Dios guarde á vmdL muchos años. Acambaro Enero 19 de 1818. = Ramon García y Reguera.z=Sr. sargento may…</t>
  </si>
  <si>
    <t>Camacho, Antonio</t>
  </si>
  <si>
    <t>Antonio Camacho</t>
  </si>
  <si>
    <t>…do conferir el arcedianato de la catedral de la Havana á D. Julián Josef del Barrio, canónigo de aquella iglesia: la canongía magistral de la catedral de Valladolid de Mechonean á D. Antonio Camacho : una ra ción de esta misma iglesia, vacante por ascenso de D. Antonio Cortés y dar te, al medio racionero D. Juan Bautista Eguren; esta resulta á D. Ramón Pa zos, y otra inedia ración, vacante en la propia iglesia por renuncia de D. Ma tías Josef de Feria, á…</t>
  </si>
  <si>
    <t>Camacho, Mauro</t>
  </si>
  <si>
    <t>Mauro Camacho</t>
  </si>
  <si>
    <t>T29í y Trinidad Hernández: el cabo primero de granaderos de Zaragoza Manuel González, el corneta Josef Bruc y el cazador Juan Ramos. Son ¡también díga nos de recomendación D. Mauro Camacho, teniente de dragones de Quere-r taro, y los cadetes del mismo cuerpo D. Josef María Castañeda y D. Mariano Sánchez, el alférez de realistas D, Eugenio Torres, y los cabos de Sierragorda D . Vicente M ornes y Joaquín Santos, y el sargento de realistas Josef.G…</t>
  </si>
  <si>
    <t>Camargo, Francisco</t>
  </si>
  <si>
    <t>Francisco Camargo</t>
  </si>
  <si>
    <t>…ines de Cozar; Doña María Ayala y Cárdenas, muger de D. Bernardo Ribera, vecinos de la ciudad de Palma; D. Manuel Felipe de Ayala; Doña María Tomasa de Ayala y Aviles, y su marido D. Francisco Camargo; Doña María de la Paz Suxbet y Ayala, viuda de D. Josef Trevani; D« Josef María Surbet y Ayala, pres bítero; D. Juan Agustín Surbet y Ayala, regidor de la ciudad de Málaga; el mis mo D. Francisco de Paula Ayala y Camargo, y la madre Sor María Francisca de Aya…</t>
  </si>
  <si>
    <t>Camargo, Francisco de Paula Ayala y</t>
  </si>
  <si>
    <t>Francisco de Paula Ayala y Camargo</t>
  </si>
  <si>
    <t>…ña María de la Paz Suxbet y Ayala, viuda de D. Josef Trevani; D« Josef María Surbet y Ayala, pres bítero; D. Juan Agustín Surbet y Ayala, regidor de la ciudad de Málaga; el mis mo D. Francisco de Paula Ayala y Camargo, y la madre Sor María Francisca de Ayala y Camargo, religiosa profesa en*eL$oríyentQ/.de Sta.4Clara de la propia ciu dad: para mejor proveer, he¡mandadpHn,«^te día se cite1, ll$me. y emplace á estos ó á quienes los represente, á fin de que. en el preciso térm…</t>
  </si>
  <si>
    <t>Camino</t>
  </si>
  <si>
    <t>…smo'párroco le catequizó é instruyó ,y al cabo de algunos días viendo que el enfermo no estaba, según declararon los cirujanos, en estado de moverse, y sí próximo á espirar, dicho señor Camino le suministró el bautismo en la madrugada del 24 del presente mes, siendo su padrino el Excmp, Sr. temenfe geti eral dé los * Reales egércitos. magues dé Ruchena. Etí el mismo día (agravándose la enfermedad) le cohfesó , y por la tarde recibió lóá sacramen to…</t>
  </si>
  <si>
    <t>Camocho, Mauro</t>
  </si>
  <si>
    <t>Mauro Camocho</t>
  </si>
  <si>
    <t>…niente D. Manuel Muñoz, al féreces D. Pedro de Legarreta y D. Feliciano Guerra, y cadete D. Nicolás Gutiérrez. Dragones de Querétaro: alféreces D. Josef Frias, D. Manuel Arre ta y D. Mauro Camocho. Dragones deS. Carlos: capitán D. Domingo ligar te y portas D. Josef Ignacio Ximenez y D. Pedro Alarcon. Fieles del Potosí: capitán graduado D. Mariano Guardiola. Realistas de Apan: capitán D. Joa quín Espinosa y D. Antonio Ortiz, teniente D. Josef Ponce y al…</t>
  </si>
  <si>
    <t>Campana, Josef Ignacio Alvarez</t>
  </si>
  <si>
    <t>Josef Ignacio Alvarez Campana</t>
  </si>
  <si>
    <t>…erá mandado por el comandante general del campo dé Gibraltar el Excmo. Sr. D. Josef María Alos: el segundo por el segundo comandante general de esta provincia el mariscal de campo Don Josef Ignacio Alvarez Campana; y el tercero por el de esta clase D. Joaquín Virues. 3.° El primer distrito se subdividirá en .los cantones siguientes: el de San Roque , que comprehderá desde el Guadiaro&gt; hasta el rio Palmones, lo man dará : el brigadier D. Félix. Prat: el de Algeciras, de…</t>
  </si>
  <si>
    <t>Campbell</t>
  </si>
  <si>
    <t>20</t>
  </si>
  <si>
    <t>…embarcar en Deal una parte de sus oficiales. Un individuo reclutado por el coronel Tilmore para servir en su cuerpo de artillería, se ha quejado de él al corregidor de Londres. El coronel Campbell, dd cuerpo de infantería, y todos sus oficiales han sido detenidos en la aduana de la isla de Wight. Se cree ccn fundamento que hayan naufragado el coronel Hippesley y su oficialidad, en razón de haber sufrido el mismo temporal que ocasionó el naufragio del I…</t>
  </si>
  <si>
    <t>…puso obstinadamente á su tránsito; de forma que se vieron en la necesidad de volver atras. De los soldados euro peos uno solo murió en el viage; pero perdimos varios oficiales. El capitán Campbell murió dos dias después de su vuelta á Rio-Nuñez, y fue enterra do en el mismo sitio que el desgraciado mayor Peddie. Por lo demas, cl;valor no abandona á nuestros compatriotas, y esperan una ocasión favorable para volver á ponerse en marcha.............. La g…</t>
  </si>
  <si>
    <t>Campillo, Josef del</t>
  </si>
  <si>
    <t>Josef del Campillo</t>
  </si>
  <si>
    <t>…l conde de Lemos, el maestro .Vicente Espinel, Pon ; Jorge Juan, y D. Antonio de.Ulioa: iy. D..Pablo de Sta..María, el P. Diego Lainez, Fri. Gerónimo Gracian de la Madre de Dios , D. Josef del Campillo, el Car,denai IX íraticisco de Mendoza, y D. Alfonso de Cartagena. ¿ &amp; continuará.) ■ ■■■■■'■» ■ *— ;-- - ........— ■ - "■■■ ....... ■ 1 " —.... .i ■■■■■ —.. Él Sr. D. Angel Fernández de los Ríos, del Consejo de S. M., teniente primero de corregidor de ésta m…</t>
  </si>
  <si>
    <t>Campillo, Juan Josef</t>
  </si>
  <si>
    <t>Juan Josef Campillo</t>
  </si>
  <si>
    <t>…de navio de la Real armada D. Tomas Blanco Cabrera: los tenientes de navio D. Luis Pardo y D. Simón Londoño: el alférez de navio D. Pedro Fernando Tavira: los tenientes coroneles D. Juan Josef Campillo y D. Josef Alejandro: los capitanes graduados de tenientes coroneles D. Ra món de Amagada y D. Bartolomé Henriquez: los subtenientes D. Nicolás O ^res y Palafox y D. Ramón González: los subtenientes del Real cuerpo de artillería D. Josef Mogro y D. Santos Caravantes : el coronel…</t>
  </si>
  <si>
    <t>Campo, Juan Antonio del</t>
  </si>
  <si>
    <t>Juan Antonio del Campo</t>
  </si>
  <si>
    <t>…ello ha rentado anualmente hasta hace dos años 38 fanegas de trigo, siendo su valor 6o3 rs. vn. La persona que quisiere comprarla acudirá en el término de 24 dias en esta corte á D. Juan Antonio del Campo, plazuela del Cordon, niím. 1 , casa de Alfaxo, cuarto segundo de la izquierda, y en Salamanca á Doña Ramona Martínez, ca lle del Sordo Lodo, en la posada. Se halla vacante la plaza de catedrático de latinidad, retórica y prosodia de lo# Reales estudios de la…</t>
  </si>
  <si>
    <t>Campo, Justo del</t>
  </si>
  <si>
    <t>Justo del Campo</t>
  </si>
  <si>
    <t>…1809 se marchó á Cádiz, en donde se embarcó para Veracruz en el Bergantín Catalina, cgerciendo su facultad de cirujano sangra dor. La persona que lo supiere se servirá avisarlo á D. Justo del Campo, empleado en la imprenta Real de esta corte ; el cual abonará cualquier gasto pür el documen to que se le remita en el caso de haber fallecido el mencionado cirujano. El justo regocijado y el impío enmudecido.: sermón predicado en Madrid en la iglesia de reli…</t>
  </si>
  <si>
    <t>Campo, Manuel Calixto del</t>
  </si>
  <si>
    <t>Manuel Calixto del Campo</t>
  </si>
  <si>
    <t>…á instancia de D. Pedro Julián y Doña Sebastiana Pa-: ris, hijos y herederos de D. Miguel Tomas París, uno de los acreedores graduados etiv el quinto lugar en la testamentaría de D. Manuel Calixto del Campo, se citar llama y emplaza á los demas acreedores graduados en el mismo lugar&gt; que lo son Dona Jo sefa María Rogibal, D. Francisco de Ayerbe, D. Domingo González Valdosera, ' Doña Manuela Martín Alonso, D. Manuel Rodríguez, D. Juan de las Fuentes, D. Julián de…</t>
  </si>
  <si>
    <t>Campo, Manuel Diaz del</t>
  </si>
  <si>
    <t>Manuel Diaz del Campo</t>
  </si>
  <si>
    <t>…afael Bracho.” 3.0 ,, Excmo. Sr.: Original paso á manos de V. E. el parte que me ha dado el capitán del batallón ligero de Querétaro y comandante del destaca mento de Casas Viejas D. Manuel Diaz del Campo , avisándome el resul tado del choque que tuvo con la gavilla del rebelde Sebastian González en Jas inmediaciones de aquel punto; yen vista de la serenidad con que se compor taron los oficiales y tropa que batieron á aquel cabecilla, los recomiendo á la super…</t>
  </si>
  <si>
    <t>Campománes, Pedro</t>
  </si>
  <si>
    <t>Pedro Campománes</t>
  </si>
  <si>
    <t>14o la Via y D. Josef Cólomer, el abanderado D. Pedro Campománes y ios subtenientes D. Antonio Villalba y D. Rafael Villavicencio, heridos de gra vedad: el capitán D. Manuel Velazquez , los tenientes D. Juan Sorelo, Don Juan Gómez, D. Josef Segador, D. Josef Elua y D. Manuel Martin Alvarez, y los subtenientes D. Tiburcio d…</t>
  </si>
  <si>
    <t>Campos, Juan</t>
  </si>
  <si>
    <t>Juan Campos</t>
  </si>
  <si>
    <t>…, Don Juan: Hernández 6 , D. Josef Baez 2 , D. Josef Arrese 4, D. Francisco-Ruz 1, D. Josef Manuel Chirinos 4 , D. Gerónimo Losada 3 , D. Rodulfo Vasallo iD. Tomas Pónce 4 reales¿ D. Juan Campos 2 pesos, D. Juan Insua 2 , Don Francisco Rodríguez Mesa 2 * Sres. Perez y Chaves 4, D. Ramón Gutiér rez 6, D. Feliciano Borges 4, D. Josef Hernández Horta 4 , D. Matías Cas tro 4, D. Juan V ícente Perez 2, D. Antonio García 2 , D. Pedro Castillo 4, D. Josef A…</t>
  </si>
  <si>
    <t>Campos, Luis de Azara y</t>
  </si>
  <si>
    <t>Luis de Azara y Campos</t>
  </si>
  <si>
    <t>1041</t>
  </si>
  <si>
    <t>1041 Em seguida D. Luis de Azara y Campos, teniente agregado al regimiento infantería de Burgos, disertó sobre la siguiente proposición: „EÍ comercio que se hace por compañías exclusivas es contrario al fomento de la riqueza pública; y si les acompañan los atributos de la soberanía, es sumamente fu n…</t>
  </si>
  <si>
    <t>Campos, Manuel</t>
  </si>
  <si>
    <t>Manuel Campos</t>
  </si>
  <si>
    <t>…el coronel D. Hermenegildo Revuelta que se cita en el anterior. ; ,, Exemo. Sr.: El dia 22 á las seis de la tarde hice salir de esta al capitán' del cuerpo de frontera de Cólotlan D. Manuel Campos con la fuerza de no' hombres bien montados, con orden de que caminase toda la noche, y que el siguiente dia 23 permaneciese emboscado poco distante de los altos de Ibarra, para que amaneciendo el 24 subdividida su fuerza en dos partidas en los ran chos del Xa…</t>
  </si>
  <si>
    <t>…y privados hasta del movimiento de las mandíbulas, los hacedÍ2nos de un sínoular aprecio, parecí éndome de justicia llamar en particular la superior atención de V. E. en Favor del capitán D. Manuel Campos y teniente Vizcarra: al pri-r mero por su actividad, zelo y esfuerzo, y al segundo por haber sido el que sorprendió el cantón de los conocidos por los Monigotes, haciendo 16 pri sioneros, dando muerte á uno, é hiriendo al nombrado comandante Cristóbal Nava ,…</t>
  </si>
  <si>
    <t>Campos, Manuel'</t>
  </si>
  <si>
    <t>Manuel' Campos</t>
  </si>
  <si>
    <t>…el punto que ocupaban los otros tres puestos. No se consiguió todo el fruto que debia esperarse por el demasiado ardimiento de uno de los indicados puestos; pero el del cargo del capitán D. Manuel' Campos dí¡p muerte á 2 de los perversos, y trajo un prisionero, todos uniformados y ¿ri mados con 2 fusiles, 3 lanzas y 2 machetes. Igualmente? recogió 3 caballos en sillados , 12 en pelo, 8 muías y 4 bueyes, los cuales devolveré á los vecinos de la Encarnación, á q…</t>
  </si>
  <si>
    <t>Campos, Pablo</t>
  </si>
  <si>
    <t>Pablo Campos</t>
  </si>
  <si>
    <t>…e hallaba en la hacienda de Acatempa, le previne se dirigiese al pueblo de Sta. Marta en observación de una partida que el dia antes había marchado de auxilio: á la. del indultado D. Pablo Campos, que en el mismo había sido atacada por la reunión de indios que había formado el rebelde-Pe dro A sensio; y á su regreso mé manifiesta lo siguiente : ,,En cumplimiento de lo que V. me previno en su oficio del 3, que re cibí á -las 7 de la noche, me puse en m…</t>
  </si>
  <si>
    <t>i2él ,,Hoy ii he recibido un parte de la partida volante que está al mando del indultado D. Pablo Campos, y anda expedicionando por la Goleta, de que continuaba en la persecución del rebelde Pedro Asensio, remitiéndome al ca becilla Pablo Hernández, que fue sorprendido por dicha partida, al que tengo preso en este destacamento. En esta fecha se han presentado á…</t>
  </si>
  <si>
    <t>Cañal, Domingo</t>
  </si>
  <si>
    <t>Domingo Cañal</t>
  </si>
  <si>
    <t>…dicha cantidad; en la inteligencia que pasado dicho término sin haber comparecido se procederá á dar á la referida sumar la aplicación que previenen las leyes. Habiendo fallecido D. Domingo Cañal en la ciudad de Veracruz el día 27 de Febrero de 1792, resultó por su testamento haber sido casado en la ciudad de Cá diz con Doña María de Mesa , dejando por herederos á sus hijos D. Manuel, Doña Antonia y Doña Rita Cañal; y respecto á que estos interesados…</t>
  </si>
  <si>
    <t>Canalizo, Valentín</t>
  </si>
  <si>
    <t>Valentín Canalizo</t>
  </si>
  <si>
    <t>…ifiesta la gaceta núm. 1147. ,, En premio de esta bizarra defensa he concedido interinamente el grado inmediato al referido Alvarado, al subteniente del mismo regimiento de Celaya D. Valentín Canalizo, á los sargentos del expresado cuerpo D. Fran cisco Tabera y D. Luis Almaraz, al del Príncipe D. Felipe Carvajal, y a"* los oficiales de realistas que existían allí, de que daré cuenta á V. E. opor tunamente para que se sirva alcanzar la aprobación de S. M.,…</t>
  </si>
  <si>
    <t>Canardo, Ramón</t>
  </si>
  <si>
    <t>Ramón Canardo</t>
  </si>
  <si>
    <t>…goza: el teniente coro nel D- Manuel Factor, el comandante del primer batallón D- Gabriel Rivas, él capitán Dv Juan Postelli, el teniente D. Melchor Melcolalde y los subte nientes D. Ramón Canardo y D. Manuel Fernandez Parrado, muertos 1 el ca pitán E&gt;. Manuel Berdiales , el ayudante mayor D. Pedro María Hgarte, et segundo ayudante D. Miguel Francisco Soler , los tenientes IX Francisco de</t>
  </si>
  <si>
    <t>Cañas, Manuel AritéroSánchez de</t>
  </si>
  <si>
    <t>Manuel AritéroSánchez de Cañas</t>
  </si>
  <si>
    <t>…provincíalésl • ”l Madrid gó de Noviembre. : ARTICULO DE OFICIO. ^ . El Réy nuestro Señor se ha dignado nombrar patá la canóngía lectoral dé ía sarita iglesia catedral de Oaxaca á D. Manuel AritéroSánchez de Cañas; y a D Francisco González Gastetuag^ para la media pación que ha resultado vacante en la santa iglesia catedral de Durango por ascenso deD. Pedro Millan Rodríguez á racionero. En atención al mérito que ha contraído D. Francisco Anaya, alcalde ma yor de la ciu…</t>
  </si>
  <si>
    <t>Cañas, Tiburcio de</t>
  </si>
  <si>
    <t>Tiburcio de Cañas</t>
  </si>
  <si>
    <t>…heridos de gra vedad: el capitán D. Manuel Velazquez , los tenientes D. Juan Sorelo, Don Juan Gómez, D. Josef Segador, D. Josef Elua y D. Manuel Martin Alvarez, y los subtenientes D. Tiburcio de Cañas, D. Antonio Tuya, D. Ma nuel Sánchez Trívino y D, Martin de Santiestéban, heridos. Dragones de S. Luis: el capitán D. Anastasio Bustamante herido. Dragones de S. Carlos: el capitán D. Manuel Linares herido de gravedad. Segunda sección: bata llón ligero volunt…</t>
  </si>
  <si>
    <t>Cañas, Vicente</t>
  </si>
  <si>
    <t>Vicente Cañas</t>
  </si>
  <si>
    <t>…de Noviembre de 1818. En el banco del Gobierno antiguo de Génova llamado de S. Jorge existen varios créditos pertenecientes á españoles, y entre ellos uno ya liquidado á favor de D. Vicente Cañas, vecino de Madrid, ó sus herederos, y consiste en un fideicomiso, á cuya posesión fue admitido dicho D. Vicente Cañas desde el 2 de Diciembre del año de 1780, como hijo descendiente por línea femenina del primer matrimonio de Doña Clara Scoarciafico, habiendo…</t>
  </si>
  <si>
    <t>Cancelada, Juan López</t>
  </si>
  <si>
    <t>Juan López Cancelada</t>
  </si>
  <si>
    <t>…an de venta las demas obras del autor, según él cátálógó qüe ¿ñ Madrid se distribuye gratis. ‘ ¡ : El aprecio que han merecido los periódicos y cuadernos sueltos que ha dado á luz D. Juan López Cancelada, comisionado principal del Crédito público de la provincia de León , entre ellos Ruina de la Nueva-España si se declara el comer cio libre con los estrangeros, Socorro del clero al Estado, y otrosnos obliga á .volver á anunciarlos por las útiles noticias que…</t>
  </si>
  <si>
    <t>Cándido, Francisco</t>
  </si>
  <si>
    <t>Francisco Cándido</t>
  </si>
  <si>
    <t>876 . . general Morillo de "haber fallecido de resultas de sus heridas el benemérito co ronel D. Francisco Ximenez. En virtud de providencia del Sr. D. Francisco Cándido dé Paz, del Consejo de S. M., y alcalde de su Real Casa y Corte, dada en 7 del presente, se ha mandado sacar á publica subasta por término de 15 días, contados desde la publicación de este aviso , una casa sita en el lugar de Gretafe, y su calle Real, en la a…</t>
  </si>
  <si>
    <t>Canet, Josef Antonio</t>
  </si>
  <si>
    <t>Josef Antonio Canet</t>
  </si>
  <si>
    <t>Gaceta de Madrid n.º 137</t>
  </si>
  <si>
    <t>…mismo tiempo seguras reglas con que pueda el hombre conservar su salud y lograr una vida larga: obra en su clase original y del mayor-ínteres á toda especie de perso nas; su.autor D. Josef Antonio Canet, impresa este mismo año en Madrid.Véndese en la librería de Ibarra , calle de la Gorguera; en Barcelona en la de Roca ; en Va lencia en la de Gil; en Tarragona en la de Puigrubí, y en su puerto casa de su bo ticario: su precio 8 rs. á la rústica. Calendario g…</t>
  </si>
  <si>
    <t>Cano, Francisco</t>
  </si>
  <si>
    <t>Francisco Cano</t>
  </si>
  <si>
    <t>…e esta corte, á D. Juan M. Sivilla, sus hijos, herederos ó suceso res , para que por sí ó por medio de procurador con poder bastante se muestren parte en el expediente formado por D. Francisco Cano, vecino de la villa de Bacna, sobre reintegro de un vale Real de goo pesos, creación de i.° de Enero de 809; con aper-, cibimiento que no verificándolo dentro de dicho término se determinará en estrados por su rebeldía, parándoles el perjuicio qué haya lugar.…</t>
  </si>
  <si>
    <t>Cantabrana, Ciríaco</t>
  </si>
  <si>
    <t>Ciríaco Cantabrana</t>
  </si>
  <si>
    <t>Gaceta de Madrid n.º 58</t>
  </si>
  <si>
    <t>…do de Calahorra y la Calzada, y por'el oficio dé O. Manuel Saenz de ía Maleta , escribano de su número , se siguen autos entre D. Leandro García Peña, natural de la misma villa, y D. Ciríaco Cantabrana/ avecindado en la ciudad de Nájera, de la citada provincia, sobre la pertenencia del mayorazgo fundado por el capitán D. Nicolás de Villanueva Mendoza, poseído últimamente por D. Miguel de Santervas Miguel y Catarroja, regidor que fue en lá ciudad de la Puebl…</t>
  </si>
  <si>
    <t>Cantavilla, Francisco Juan y</t>
  </si>
  <si>
    <t>Francisco Juan y Cantavilla</t>
  </si>
  <si>
    <t>…ara de Sueca, vacante por promoción de D. Pascual Alpuenté á una plaza de al caide del crimen de la chancillería de Valladolid; para la del Toboso, que lo está por nombramiento de D. Francisco Juan y Cantavilla para la de Ge rona, á D. Cristóbal González Doñelfo, y para la de Arjona , que está igual mente vacante por pTomocion á la de Cara vaca de D. Bernardo Josef de Hérvás:, á D. Diego Antonio Montero y Pelaez. ------------■ —— -i i- . - --------------------- 1 '■…</t>
  </si>
  <si>
    <t>Canterac</t>
  </si>
  <si>
    <t>…en el cual volaron algunos malvados, y .acabó de poner en confusión el resto al momento mismo que las tropas iban á asaltar el parapeto. ,,Ei capitán D. Ramón Bedoya, ayudante del brigadier Canterac, que .había venido por la parte opuesta del cerro con dos compañías, fue el pri mero que entró en el fuerte, recibiendo una gran contusión en el pecho de una pedrada, y dió pruebas en varías ocasiones de este dia del valor que le hace tan recomendable á todo…</t>
  </si>
  <si>
    <t>…se paso en marcha el egército para Pampatar. La divi sión expedicionaria tomó la cabeza, y tuvo orden de tomar el fuerte y trin chera que los enemigos tenían cerca ae S. Juan: él brigadier Canterac se ade lantó con el batallón de Burgos; y despreciando el fuego de metralla que le hacían aquellos , se apoderó de todo con muy poca resistencia, encontrando un cañón de á 12 y municiones de guerra, que quedaron en nuestro poder. ,,El egército continuó su mar…</t>
  </si>
  <si>
    <t>…ivil, que con su cuerpo se portó con mucho ánimo en esta ocasión, asi como el capitán del mismo D. Joaquín Dalmau. El capitán de lanceros D. Ramón de Bedoya, ayudante de campo del brigadier Canterac, se apoderó con la compañía de cazadores de Burgos dos veces de una casa aspillerada que defendieron los rebeldes, habiéndoles en ella matado mucha gente. Fue herido en la rodilla de poca consideración, y se señaló este oficial, como acostumbra, por su extrao…</t>
  </si>
  <si>
    <t>…previne reco nociese el portachuelo ó paso de S. Juan, mientras que yo con un batallón del regimiento de Navarra y el de Búrgos me dirigí á ocupar el pueblo de aquel nombre, y el brigadier Canterac quedó con el otro,batallón de Navar* ra amenazando la batería y trinchera que dejábamos á retaguardia. „El comandante general de la primera división coronel D. Juan Alja ma , que en cumplimiento de las órdenes que tenia marchó á su cabeza has ta un terreno pr…</t>
  </si>
  <si>
    <t>…chuelo de S. Juan á posesionarse de las alturas que hay á la izquierda de las baterías y fuertes de Juan Griego; al deíembocar el desfiladero encontró á su frente el enemigo, y el brigadier Canterac dispuso que las compañías de cazadores y primera de Navarra, y la de cazadores de Burgos marchase á las órdenes de su ayudante de campo el capitán D. Ramón Bedoya, y le atacasen decididamente, logrando de este modo que ios rebeldes se retirasen por la orilla…</t>
  </si>
  <si>
    <t>Canterac, Josef</t>
  </si>
  <si>
    <t>Josef Canterac</t>
  </si>
  <si>
    <t>…s, dando egemplo de sufrimiento y de constancia en los obs táculos que el áspero terreno ofrecía á cada paso, ademas de la escasez del agua en el ardiente calor de las playas. „El brigadier D. Josef Canterac, que tan buenos servicios ha hecho á S. M. desde el momento del desembarco, se ha conducido en esta expedición con la bizarría é inteligencia que tiene tan acreditada, y se deben á sus acer tadas disposiciones los felices resultados que se han conseguido.</t>
  </si>
  <si>
    <t>…bre la ciudad de la Asunción, capital de esta isla,.con ánimo da amagar mi entrada en ella, y apoderarme del portachuelo llamado del Norte, salí dePampatar con las di visiones del brigadier D. Josef Canterac y coronel D. Juan Aldama la noche del 30 de Julio último, para estar al amanecer sobre las posiciones enemi gas. Mi objeto era tomar el portachuelo, que es un paso estrecho entre dos altas montañas, por donde se comunican desde la ciudad al pueblo del Nor te,…</t>
  </si>
  <si>
    <t>…ue consta del adjunto esta do, siendo entre ellos muy sensible la del benemérito y bizarro joven Don Jacobo Jones, teniente del regimiento de infantería de Navarra, y ayudante del brigadier D. Josef Canterac. Este oficial, cuya conducta irreprensible, aplicación é inteligencia le hacían amar de todo el egército, se distinguió este</t>
  </si>
  <si>
    <t>…. Francisco Baból, el capitán graduado teniente de la compañía de cazadores de la Union D. Josef Andrade, y el teniente deL batallón de la Reina Doña Isabel D. Juan Bermudez. „ EL brigadier D. Josef Canterac, á la cabeza de las tropas de su división, se distinguió , como siempre, por su extraordinario valor y serenidad , ha biendo recibido una fuerte contusión en el hombro derecho. ,,También fue contuso en la cabeza el bizarro coronel de dragones co mandante gene…</t>
  </si>
  <si>
    <t>…án D. Ramón Bedoya, y le atacasen decididamente, logrando de este modo que ios rebeldes se retirasen por la orilla del mar á guarecerse de sus puntos fortificados. ,,Observando el brigadier D. Josef Canterac que la caballería enemiga ocu paba sobre un flanco derecho una posición que le era muy ventajosa , se decidió á marchar sobre ella con su división; y habiéndola hecho flanquear por la se gunda compañía del batallón de Búrgos, fueron cargados los rebeldes por…</t>
  </si>
  <si>
    <t>Cantero, Andrés</t>
  </si>
  <si>
    <t>Andrés Cantero</t>
  </si>
  <si>
    <t>…quedados por el fallecimiento intestado de D. Josef Martínez Matienzo, vecino de esta corte, que falleció en 18 de Diciembre de 1812, los que se reclaman por sus sobrinos.carnales D. Andrés Cantero y D. Pedro Madenzo, vecinos del va lle de Carranza; y á efecto de proceder con el debido conocimiento en este asunto, y que no se cause el menor perjuicio á algunos otros que pueda haber.con igual de recho , y al mismo tiempo con el fin de saberse las deudas y créditos que cont…</t>
  </si>
  <si>
    <t>Capetilío, Joaquín Reina y</t>
  </si>
  <si>
    <t>Joaquín Reina y Capetilío</t>
  </si>
  <si>
    <t>…8, D. Martin de Irrgo•yen 8 , D.; Juan:.Gcrd.il.' d, D¿ tMiguel Antonio Oyarzabal 6 , D. Joaquín/ Emazabei 4, D. Antonio Delgado 4 , D. Vicente.Sarria 4, D. Marcial Bei*7 mudez 4, D. Joaquín Reina y Capetilío 8, D. Francisco Espar 6, D. Fran cisco Ríos i , Sr. marques dy Mijares 2 , D. Lorenzo Solórzano 10, D. Pe dro Josef Solórzano 16, DvJuan; Jósef Echezuria y Echeverría 6 &gt; D. Pablo Gascue ■*, D. Manuel Manrique y Sierra 6' ,T). Feliciano Palacios 6yD. Juan • J…</t>
  </si>
  <si>
    <t>Capitán</t>
  </si>
  <si>
    <t>…concurso, que se retiró llene de satisfacción y com placencia. Caracas 2$ de Agosto. , ' ' i * &gt; Parte del comandante general de la quinta división T&gt;. Sebastian de la Calzada al Sr. Capitán general de Venezuela. „E1 subteniente de cazadores del batallón de Barinas D. Cayetano Pa chano, que con 4 soldados de su compañía salió del apostadero en una cu riara con correspondencia del Real servicio para esta plaza, acaba de egecutar una acción disting…</t>
  </si>
  <si>
    <t>Capitán, Antonio González</t>
  </si>
  <si>
    <t>Antonio González Capitán</t>
  </si>
  <si>
    <t>…da la Real Familia. Madrid jo de Diciembre. ARTICULO DE OFICIO. Por Real resolución de io del presente, á consulta del Consejo supremo de la Guerra, se ha servido S. M. conceder á D. Antonio González Capitán, licenciado en farmacia, y vecino de la villa de Jumilla en el reino de Murcia, el fuero militar y uso de uniforme de segundo ayudante de farmacia de egér-cito en premio de los servicios que ha hecho en las boticas militares de cam pana durante la última guer…</t>
  </si>
  <si>
    <t>Cápitarigeneral</t>
  </si>
  <si>
    <t>…s .siguientes relativos á los gloriosos triunfos que han conseguido las ar mas del Rey nuestro Señor; en aquella parte de sus dominios. ; i ° Oficio deLcomaridañtei de:SsCáklos al Sr. Cápitarigeneral interino. ::: .El cor ónel-iD;dfcey es^árgas'.con fecha 26 del mes próximo pasado desde Ratinas me dieeLlo: que copio*ri r. ¡ r ; . &gt; . El 20 del corriente, después de cinco;dias dé marcha, me encontré á las inmediaciones* de Sta. Rosalía con 300 hombres que…</t>
  </si>
  <si>
    <t>Capmany, Antonio</t>
  </si>
  <si>
    <t>Antonio Capmany</t>
  </si>
  <si>
    <t>…término arriba dicho, que se le admitirán las que hicieren siendo arrc:gl:!dai. Los suscriptores á la nueva edicion considerablemente aumentada del diccionario fnmct's t:spañol de D. Antonio Capmany , y español frances de Nuiíez Taboada. en 2 {O:110~ en 4.°, pasarJn á las líb;-erías donde hayan hecho las suscripciones á recOs';':!" d prin-,cr tomo, y &lt;ldelJntar 60 rs., importe del 2.° Los sugetos que por tel1;;r ¡a ,:~H:·!.:,,:i t!dkioa del Cap=nany no s…</t>
  </si>
  <si>
    <t>Capo</t>
  </si>
  <si>
    <t>…Mounier, consejero de Estado ; el. conde Ca*, raman, primer secretario de embajada en Londres; el conde de Nesselrcn de, secretario de Estado de S. M. -Nel Emperador de/Kusia; el conde Capo d’Istria, secretario de Estado del mismo Emperador; el príncipe Menzicotfj Mr. de Witzieben, mayor general y ayudante del Rey ae Prusia; el conde de Zichy, embajador de la. corte de Austria en la de. Berlín; el conde de Go-, lowkin, ministro de la corte de Ru…</t>
  </si>
  <si>
    <t>Capo-de-Istria</t>
  </si>
  <si>
    <t>…e Agosto. Anoche llegó aqui lord Stewart, embajador de Inglaterra cerca de la cor te de Viena, y en seguida salió para Franzensbad, en donde se hallan el prín cipe Metternich y el conde Capo-de-Istria. GRAN BRETAÑA. Londres 28 de Agosto. Las cartas de Manchester recibidas esta mañana dicen que los Jornaleros dejas fábricas han estado estos últimos dias mas turbuléntos que nunca, con motivo de haber abierto algunos fabricantes sus obradores á fin de que pud…</t>
  </si>
  <si>
    <t>Car</t>
  </si>
  <si>
    <t>…ncurrencia de las telas inglesas. Idem jo. Eí dia 27, á las seis de la mañana, saiió de aquí S. M. para Moscow acom pañado de S. A. ei Príncipe Real. Lleva S. M. en su comitiva al duque Car los de Mecklenbourg-Strelitz, al gran escudero Jagow, á sus ayudantes de campo, al coronel Branchlsch, al mayor conde Kanitz, al mayor Malachowski, al coronel Witzleben, al consejero de Cámara Albrecht y al doc tor Wicbel, médico de Cámara y del Estado mayor;…</t>
  </si>
  <si>
    <t>…rios dueños de ranchos; y entre estos, y los que vinieron en esta fecha á presentarse á este punto, lo efectuaron 216. ,, El 9 volvió á salir con su partida parad Palmar grande el capitán Car riles, que había regresado el dia de ayer, dándole la orden que vmd. se sirvió comunicarme á su salida de que en aquellas barrancas había algunas madri gueras de los rebeldes, y que si en ellas se encontraban algunas familias las condujese hasta este punto, h…</t>
  </si>
  <si>
    <t>…e la continuación del Se manario erudito en 4.0 y rustica: el i.° y t.° tomos de las Tertulias de invierno en Chinchón en 8.° pasta y rustica; y la célebre representación hecha al Sr. D. Car los m por su secretario de Estado y del Despacho D; Josef Moñino, conde de Fio-, ridablanca, en 10 de Octubre de 1788. Estampa en pliego de marca mayor de la Purísima Concepción, pintada por Juanez y grabada por Gamborino. Se hallará en las librerías de Escri…</t>
  </si>
  <si>
    <t>Car, Domingo Rodríguez</t>
  </si>
  <si>
    <t>Domingo Rodríguez Car</t>
  </si>
  <si>
    <t>…Alonso. Consejo de Castilla; Manuel Amador. Propias de Madrid t Manuel Revuelta. Sugetos que se hicieron acreedores d la medalla de honor. D. Manuel María Raíz, D. Antonio Barea, D. Domingo Rodríguez Car vajal, D. Josef Albarran, D. Pedro Giménez de Haro y D. Domingo Lama. Nota. Manuel Resuelta , Manuela Esperanza, Manuel Amador , Eugenia Alonso y María Gómez están declarados acreedores á ser admitidos en los establecimientos públicos y dé curación. A virtud…</t>
  </si>
  <si>
    <t>Car, Juan</t>
  </si>
  <si>
    <t>Juan Car</t>
  </si>
  <si>
    <t>…a: la capitanía de llaves de la de Oiivencia al alférez D. Jaime Miguel, sargento primero del .regimiento de húsares de Bailen, y la de Ceuta al subteniente graduado dé infantería D. Juan Car ril , que servia interinamente dicho empleo. ...La Real junta gubernativa, administrativa y económica de las encomien das vacantes de la orden de S. Juan, qué se administran por cuenta de S. M.,</t>
  </si>
  <si>
    <t>Car, Tomas Josef González</t>
  </si>
  <si>
    <t>Tomas Josef González Car</t>
  </si>
  <si>
    <t>Gaceta de Madrid n.º 121</t>
  </si>
  <si>
    <t>…tellano en verso y prosa, conforme al sentido literal y á la doctrina de los santos Padres, con notas é ilustraciones sacadas de los mejores. intérpretes antiguos y modernos , por D. Tomas Josef González Car vajal, académico de número de la Realacademia.Española. De esta obra puede for marse idea por la muestra publicada en Madrid en el año de. 181.6 , la cual mereció la aceptación de nuestro Santísimo Padre Pío vn y de muchos respetables prelados y cabildos; mas…</t>
  </si>
  <si>
    <t>Caracciolo</t>
  </si>
  <si>
    <t>374</t>
  </si>
  <si>
    <t>…l reino de Ñapóles. Se cree que ha servido de base para el nuevo trata do, con algunas modificaciones, el plan del concordato que extendió el di funto Güidi, teólogo consultor del cardenal Caracciolo; y parece que se han convenido en los puntos siguientes: i.° Serán confirmadas por S. S. las enagenaciones de los bienes de la iglesia; una parte de ellos podrá aplicarse para dotar al Príncipe Leopoldo, y el resto se devolverá al clero. 2.0 Se prohibi rá en…</t>
  </si>
  <si>
    <t>Caracciolo, Jósef Ferfeti y</t>
  </si>
  <si>
    <t>Jósef Ferfeti y Caracciolo</t>
  </si>
  <si>
    <t>…dez Gamboa, alcalde de la Real Ca$a y} Corte, y por la escribanía de provincia de D. Valdomefó Moraleda, están radicados y pendientes autos de testamentaría por la fin y muerte de D. Jósef Ferfeti y Caracciolo,- vecino que fue de esta villa, á la que perrenece una casa sita en ella &gt; y'ca lle del Conde Duque, señalada con el núm. 3, manz. 358 ;. como excitado Fer* r^etf hubiese dejado un , hijo menor llamado también Jósef, d que se ausentó años ante.s de ja próxima…</t>
  </si>
  <si>
    <t>Caracciolo, Josef Ferreti</t>
  </si>
  <si>
    <t>Josef Ferreti Caracciolo</t>
  </si>
  <si>
    <t>…D. Vaidomero Moraleda, se señala el jueves z z del mismo en la au diencia de dicho señor, y hora de las i z del día, para el remate de la casa que pertenece á la testamentaría de D. Josef Ferreti Caracciolo, sita en esta corte calle del Conde Duque, que vuelve á la de S. Dimás» y accesoria'ála de Amaniel, distin guida coa el núm. 3 de la manz. 538, Sue consta de planta baja, principal y segun da, con bastante numero de piezas, cocina, repostería, dispensas, pati…</t>
  </si>
  <si>
    <t>Carballo, Josef Miguel</t>
  </si>
  <si>
    <t>Josef Miguel Carballo</t>
  </si>
  <si>
    <t>-subteniente graduado de milicias sueltas D. Josef Molar..__T&gt;e la segunda división de milicias de la costa dei Norte. Los capitanes D. Josef Miguel Carballo, D. Francisco Sañudo y D. Pedro! Antonio Blasco; los teñiéntes P. Josef'Llórente, D. Josef Miguel Fernandez, D; Juan Bautista Vid al y D. Salvador García del* Corral’; los subtenientes D. Santiago Bullosa y Don Marcos Domínguez ; sargentos primeros distinguid…</t>
  </si>
  <si>
    <t>Carcelen, Diego Fernandez</t>
  </si>
  <si>
    <t>Diego Fernandez Carcelen</t>
  </si>
  <si>
    <t>…María Nuñez y Fernandez ; D. Josef Villamil y Uriarte; D. Narciso Ár'espacochaga y Bertendona; D. Josef XJrbina y Daoiz ; D. Josef Sola y del Castillo ; D. Pedro Villar y Abello \ Don Diego Fernandez Carcelen; D. Antonio Lardin y Pinto; D. Antonio Fer* nandez Carcelen; D. Francisco Osorio y Bernal; D. Manuel Marín y Ra mos; D. Juan López y Martínez, y D. Mariano dé la Vega y Romero. Quien quisiere comprar una casa sita eñ el lugar de Fuencarral, y calle que lia— m…</t>
  </si>
  <si>
    <t>Cárdenas, Alfonso</t>
  </si>
  <si>
    <t>Alfonso Cárdenas</t>
  </si>
  <si>
    <t>…0 muertos , 6 prisioneros y 14 heridos, pero de estos se hallan ya 4 buenos; estando incorporados en los heridos, aunque no de gravedad, el subteniente del batallón de Guadalajara D. Alfonso Cárdenas , que manda la artillería de esta división. - ,,Son adjuntos para los fines convenientes los partes que me han pasado los comandantes de-los rastrillos de Silao y Lagos. , y, Son muy acreedores á la mayor consideración del Gobierno todos los caballeros oficia…</t>
  </si>
  <si>
    <t>…varios de Soto la Marina, dejando 17 fusiles solo por este punto. ,,Por nuestra parte tuvimos la desgracia de un cazador muerto, heridos 3:, el benemérito comandante dé artillería D. Alfonso Cárdenas , el cabo Josef Fonseca, de la misma arma, y Simón Martínez, cabo de cazadores.... • ,,Todos los oficiales se portaron can energía, lo mismo que los soldados con su acreditada valentía y constancia. „Dios guarde á V. S. muchos años. Villa de León 27 de Julio…</t>
  </si>
  <si>
    <t>Cárdenas, Cristóbal Ignacio López de</t>
  </si>
  <si>
    <t>Cristóbal Ignacio López de Cárdenas</t>
  </si>
  <si>
    <t>…rgas , D. Félix de Rívas, y representante del Excmo. Sr. duque de Medinaceli; previniéndoles que de no acu dir les parará el perjuicio que haya lugar. Quien supiere el paradero de D. Cristóbal Ignacio López de Cárdenas, que por el año de 1779 residía en América empleado de cabo de visita de la Real renta de tabaco en la ciudad de Oajaca, reino de México, ó el de su muger Doña Ignacia de Serón y Zapata, ó el de sus hijos y descendientes legítimos, se servirá comuni carlo á D…</t>
  </si>
  <si>
    <t>Cárdenas, Francisca de Ayala y</t>
  </si>
  <si>
    <t>Francisca de Ayala y Cárdenas</t>
  </si>
  <si>
    <t>…a, ante Gabriel de Muñeríí Aguirre, escribano Real; y mediante á que consta en di chos autos que la citada renta cobraron en el año de 1802 diferentes personas, co mo son: la Sra. Doña Francisca de Ayala y Cárdenas, viuda del teniente coronel D. Gines de Cozar; Doña María Ayala y Cárdenas, muger de D. Bernardo Ribera, vecinos de la ciudad de Palma; D. Manuel Felipe de Ayala; Doña María Tomasa de Ayala y Aviles, y su marido D. Francisco Camargo; Doña María de la Paz Suxb…</t>
  </si>
  <si>
    <t>Cárdenas, María Ayala y</t>
  </si>
  <si>
    <t>María Ayala y Cárdenas</t>
  </si>
  <si>
    <t>…chos autos que la citada renta cobraron en el año de 1802 diferentes personas, co mo son: la Sra. Doña Francisca de Ayala y Cárdenas, viuda del teniente coronel D. Gines de Cozar; Doña María Ayala y Cárdenas, muger de D. Bernardo Ribera, vecinos de la ciudad de Palma; D. Manuel Felipe de Ayala; Doña María Tomasa de Ayala y Aviles, y su marido D. Francisco Camargo; Doña María de la Paz Suxbet y Ayala, viuda de D. Josef Trevani; D« Josef María Surbet y Ayala, pres…</t>
  </si>
  <si>
    <t>Cárdenas, Pablo</t>
  </si>
  <si>
    <t>Pablo Cárdenas</t>
  </si>
  <si>
    <t>…barrancas en fuga. ,,El resultado dé esta acción gloriosa paira las armas del Re* ha sido matarles 53 hombres ,que yo mismo, conté;en eLcampo, y hagerles prisione ros al titulado capitán Pablo Cárdenas, á uno de los asistentes del cabecilla González, y.otros 8 rebeldes,"quédahdo en nuestro poder 62'fusiles y cara binas, 5 pares de pistolas, &amp;8 machetes y «ables, 46 lanzas, 600 piedras de chispa, 66 cartucheras y cananas, un cajón de cartuchos, un saco de pó…</t>
  </si>
  <si>
    <t>Cárdenas, Rosalía López de</t>
  </si>
  <si>
    <t>Rosalía López de Cárdenas</t>
  </si>
  <si>
    <t>…al renta de tabaco en la ciudad de Oajaca, reino de México, ó el de su muger Doña Ignacia de Serón y Zapata, ó el de sus hijos y descendientes legítimos, se servirá comuni carlo á Doña Rosalía López de Cárdenas, hermana del D. Cristóbal, residente en la ciudad de Montoro, obispado de Córdoba, en Andalucía, pues hallándose de muy avanzada edad desea hacerles entrega de la cuantiosa herencia que les pertene ce, en el caso de existir, y evitar que pase á otra línea de…</t>
  </si>
  <si>
    <t>Carfaffa</t>
  </si>
  <si>
    <t>…Stein. Tal vez estos rumores serán inventa dos por los que aun tienen casas que alquilar. ITALIA. Roma o. $ de Agosto. El cardenal Bottini acaba de morir á la edad de Si años. El cardenal Carfaffa, que tiene 96 años, se ha restablecido de la grave enfermedad que padecía. Han llegado á Insprüclc las personas que acompañan al conde de Lutzou, internuncio austríaco cerca dé la corte de Constantinopla. Entre ellos se dis tingue él conde húngaro Esteban Sze…</t>
  </si>
  <si>
    <t>Carlos</t>
  </si>
  <si>
    <t>…tero que va á construirse desde Lérida á esta ciudad,y que tanto debe contribuir á la ‘ prosperidad de entrambas. Para solemnizar este acto el Excmo. Sr. goberna dor de esta plaza D. Carlos España, teniente general de los Reales egércitos, acompañado del director de esta obra el brigadier O. Josef de Santa Cruz, y los individuos de la comisión nombrada para entender en Ja egecucion de ella, se trasladó al coll de Lilla, en donde el baile y ayuntamiento…</t>
  </si>
  <si>
    <t>Gaceta de Madrid n.º 4</t>
  </si>
  <si>
    <t>…mada y querida Esposa la Reina ; y no pudiendo gozar completamente de la felicidad que me prepa4 Ta este dia, tanto mas célebre por el dichoso enlace de mi amado y augusto Hermano D. Carlos con la Infanta Doña María .Francisca, sin aliviar antes; ■en cuanto permitan las leyes y la situación del reino, la suerte de los des graciados que gimen bajo el peso de sus crípieneshe, venida en conceder</t>
  </si>
  <si>
    <t>…no solo c-n esta corte, sino en la de Roma, México y otras ciudades, en que será inmortal la fama de su autor, pues por ellas siempre tuvo el con cepto de SS. M\l. los Sres. Reyes D. Carlos m, D. Carlos iv y D. Fer nando vii, que gloriosamente reina, y de todos los profesores de las bellas artes. Todo lo que unido á sus muchas virtudes hacen mas sensible su pérdi da ; y debe su nombre recordarse como el de uno de los mejores profesores de pintur…</t>
  </si>
  <si>
    <t>…dición de la Historia general de España del P. Juan de Mariana, ilustrada con notas históricas y críticas, y tablas cronológicas desde los tiempos mas antiguos hasta la muerte del Sr. D. Carlos 111, por el Dr. D. Josef SaL&gt;au y Blanco, canónigo de S. Isidro, é individuo de la Real academia de la Histo ria , acudirán á recoger el tomo 3.0, y pagar el 4.0, que está en prensa, á la librería de Quirós , calle de Atocha , frente á los cinco Gremios. Tamb…</t>
  </si>
  <si>
    <t>…CULO DE OFICIO. El estado á que ha venido, á consecuencia de una guerra destructora que todo lo ataca, el magnífico edificio del Museo de ciencias, empresa digna de la memoria del Sr. D. Carlos 111, en cuyo reinado se comenzó, ha herido continuamente la vista del Rey nuestro Señor, y excitado en su Real ánimo la gloriosa idea de perfeccionar una obra, que ademas de la grandeza de su objeto, concluida seria uno de los mayores ornatos de Madrid. Bien…</t>
  </si>
  <si>
    <t>…a confianza de S. M. cuando fue nombrado testigo para las capitulaciones y ratificación personal de los augustos matrimonios de los Reyes nuetros Señores'y dé los Sermos. Infantes D. Carlos y Doña María Francisca de Asís. -_Desde su niñez fue su vida egemplar en todo género de virtudes cristianas, morales y domésti cas; amabilísimo esposo y padre; amigo tan sincero como constante; alegre y festivo en el trato familiar: vivió amando a todos; y su muerte ha sido sen tida de cua…</t>
  </si>
  <si>
    <t>…a al Excelen tísimo Sr. teniente! general conde de Guaqui* gentilhombre de cámara de S. M. con egereicio &amp;c., y presentada al Rey nuestro Señor y á S. A. R. el Sermo. Sr. Infan te D. Carlos. Esta obra, original desenvuelve todos los principios de la difícil ciencia -de la guerra, cpjoéando,cada uno en su propio lugar, y.en aquel grado necesario para su inteligencia; de modo que está al alcance de todos los militares. La benigna acogida que ha me…</t>
  </si>
  <si>
    <t>Cárlos</t>
  </si>
  <si>
    <t>…estudio dé las ciencias exactas, ni el de la geografía, que consideró de tanto ínteres en aque lla parte del nuevo continente; y aprovechándose de la munificencia del Rey Padre el Sr. D. Cárlos iv empezó en 24 de Mayo de 1802 la. grandiosa obra del observatorio astronómico de Sta. Fe de Bogotá , que se concluyó en 20de Agosto del año siguiente, y que por el acierto con que está construido, por su buen gusto, por su situación, y por la preciosa colec…</t>
  </si>
  <si>
    <t>…o Señor se fia servido; nombrar subinspector general dé las tropas del reino de Goíatemala al brigadier D* Gavillo Gainza, coronel que era del regimiento de infantería del Infante D. Carlos ¿ antes Real de Lima. Igualmente se ha dignado S. M. conceder el gobierno del castillo de Belver, en ia isla de Mallorca, ai teniente de infantería D. Gorgoaio Diaz, go-</t>
  </si>
  <si>
    <t>…, fuente de la prosperidad del Estado; asi que , ademas de dirigir por medio de una sección de individuos suyos ,1a academia de Nobles Artes, erigida y dotada á sus ruegos por el Sr. D. Carlos m, de que tantos bene ficios ha reportado el país de Granada, cuida con el mayor zelo de las seis escuelas gratuitas dos de niños y cuatro de niñas, que sostiene totalmente á sus expensas hace tres años el limo. Sr, D. Blas Joaquín Alvarez de Palma, dignísimo…</t>
  </si>
  <si>
    <t>…es de Marzo de 1810 fue. destinado con igual empleo de agregado al de Lobera r permaneció en este hasta principios de r8u,que pasó al batallón de Tiradores de Castilla que mandaba Don Cárlos España: con él se halló en la acción que el quinto egército tuvo con los fran ceses el dia 19 de Febrero del mismo año en los campos de Sta. Engracia, frente á Badajoz, en cuya jornada se tiene noticias quedó muerto ó mal herido..».Su muger Doña Rosa Ogara suplica á…</t>
  </si>
  <si>
    <t>434</t>
  </si>
  <si>
    <t>…nder é inmortalizar las heroicas virtudes de nuestros Monarcas y de VV. AA. RR. y SS., á quien el cielo acaba de bendecir con el nacimiento de vuestro hijo el Sermo. Señó* Infante D. Carlos, por el que os felicita rogando al Todopoderoso por sil salud y la de toda la Real Familia/' A R T I C U l O D E O F I C I O. Circular de la Dirección general de Rentas. El Exemo. Sr. D. Martin de Garay con fecha 13 del corriente nos dice de Real orden lo sig…</t>
  </si>
  <si>
    <t>…ocar el suelo con los pies, y moviéndolos muy apriesa hace rodar la máquina. ESPAÑA. Madrid 2$ de Abril. v Con motivo de haber nombrado el Ret nuestro Señor al Sermo. Sr. In fante D. Carlos protector de la universidad de Santiago, diputó la misma una comisión para que en su nombre felicitase y diese gracias á SS. MM. y AA. , la que fue admitida á besar la Real mano en 27 de Marzo .último;'</t>
  </si>
  <si>
    <t>…formar héroes, halle "V-. A. R. y S. algún Quintiiiano , Séneca, Condillac, Fenelon ó Bossuer^ áíqüien pueda fiar .la educación física , moral y literaria del Sermo. Sr. In fante D. Cárlos *; con que él cielo dias há bendijo vuestro feliz himeneo con S. A .R .la. Se rmá • Sra.Iuíánta Do ñafran cisca de Asís i Pues, la universidad</t>
  </si>
  <si>
    <t>…l Sermo. Sr. Infante í). Francisco de Paula brindó por la salud del Rey su tio, y Monsieur 16 hizo después por la salud del Soberano de España y por la de su augusto padre el Sr.r D. Carlos iv. Todos los ilustres convidados quedaron sumamente satisfechos , tanto de la esplendidez y magnificencia del banquete, como de tan acertada reunión, la cual confirmaba la buena ar monía que felizmente existe entre los Soberanos de Europa. Idem 2$. Antes de…</t>
  </si>
  <si>
    <t>…condolido corazón, tuve á bien determinar que todos aquellos i quienes Yo agraciase con la cruz supernumeraria de la Real y dbtingpida orden española de mi augusto Abuelo el Si;. D. Carlos iii .para poderla usar contribuyesen por una vez á dicho hospital, y en favor de estos inis a preciables vasallos, con 3® rs., ademas de lo que tenían que satisfacer á la orden conforme á sus estatutos;; é igual imposición hice por el mismo decreto á todos lo…</t>
  </si>
  <si>
    <t>…dición de la Historia general de España del P. Juan de Mariana, ilustrada con notas históricas y críticas, y tablas cronológicas desde los tiempos mas antiguos hasta la muerte del Sr. D. Carlos 111, por el Dr. D. Josef Sabau y Blanco, canónigo de S. Isidro, é individuo de la Real academia de la Histo ria , acudirán á recoger el tomo 4.0, y pagar el 5.0, que está en prensa, á la librería de Quirós; calle de Atocha, frente á los cinco Gremios, y en Sa…</t>
  </si>
  <si>
    <t>…onocimientos de stís ministros, y cu yo atraso no podía menos de cansar perjuicios incalculables á la causa pú blica, como lo confesó el mismo Consejo en consulta que elevó al Rey Don Carlos ii en. 1699. Movido de estas- justas consideraciones el Rey D. Fer nando vi quiso exonerarle del Conocimiento de todos los asuntos gubernati vos y contenciosos pertenecientes á pósitos; y con el Qbjeto de tener por un conducto inmediato noticia pronta y exact…</t>
  </si>
  <si>
    <t>…o.son prote gidos, y cuanto prosperará la universidad de Santiago teniendo la gloria y el * nlto honor de contar por protector é individuo suyo á S. A. R. el Sermo. Se ñor Infante D. Carlos , se anuncian al público los artículos comprendidos en -ella, y que según relación dada por el Dr. D. Domingo Fontan, catedrático •de matemáticas elementales,,y director de la academia de matemáticas física y química son los siguientes :¡ un círculo repetidor…</t>
  </si>
  <si>
    <t>…de primerj cur-í so de química 1 dé los discípulos del. estudio de ciencias .físico-químicas esta blecido .en .el Real palacio bajo la protección; especial del Sermo. Sr^ Infante D. Carlos .y. la presidencia • del Excino. Sr. marques de- Gerralbo , gentild hombre de Cámara de S. M. El Rey nuestro Señor se dignó honrarlos con su presencia , acompañado de su augusta Esposa- y de SS. AA. los Serenísimos Sed ñores Infantes D. Gárlos; María y -Doña…</t>
  </si>
  <si>
    <t>…El dia 7 del corriente fue el señalado para la reunión de estas señoras en la'Real academia de S. Fernando/á ciryoacto se dignaron concurrir SS. MM. con los Sermós. Sres. Infantes D. Carlos , gefe principal de lásf academias y cuelas artísticas del reino, Doña María Francisca dé Asís-, su augusta esposa^ y D. Francisco de Paula, consiliario demérito de lá academia. , El Excmo. Sr. D. Jósef Pizarra, primer Secretario de Estado^ protector, con el…</t>
  </si>
  <si>
    <t>…que las artes de ben al Rey, según los adelantamientos que se han visto en el corto tiempo pa sado desde la restitución del1 Soberano á su trono, y ¿n el que lleva ei Sr. In fante D. Carlos de gefe principal de los estudios de nobles artes, demostrando que las dotaciones y recursos dispensados por S. M., y el impulso que dieron al zelo de sus ilustres individuos y profesores los soberanos decretos, cuyo cum plimiento procuró siempre con esmero l…</t>
  </si>
  <si>
    <t>…l teniente coronel graduado D. Pedro Suarez Quitos,, capitán del regimiento infantería de la Princesa: la de la plaza de Lima á Don Josef Lanao, capitán del regimiento del Infante D. Carlos, que se halla en aquella plaza: la ayudantía del castillo de la Aljafería de Zaragoza al subte niente D. Fernando Santa Olalla, que servia igual empleo en el castillo de S. Felipe de la ría del Ferrol; y la del de Polleriza, en Mallorca, al alférez D. Pedro A…</t>
  </si>
  <si>
    <t>…ntendencia de Durango al brigadier D. Die go García Conde, y el de castellano de Acapulco al teniente coronel D. An tonio Lefdael, capitán del regimiento de infantería del Infante D. Cárlos, antes Real de Lima, dependientes ambos del vireinato de Nueva-España. S. M. se ha dignado conferir el arcedianato de la catedral de la Havana á D. Julián Josef del Barrio, canónigo de aquella iglesia: la canongía magistral de la catedral de Valladolid de Mec…</t>
  </si>
  <si>
    <t>…s. ' ' ‘ - 1 • ; . —^ ' — . • r ' ■ ;■ ■" "• ContinTtactorr de lár estampar ¿fue re venden en la calcografía de la imprenta Real.—, En medio ptreg* de marca mavor.mRetrata del Rey D. Carlos tv, graba*» do á una línea* por IX-Juan Brunetí» á B rs. M Dos estampas de la obradel Saáifetío,</t>
  </si>
  <si>
    <t>ro88 Cuatro estampas4e devoción f por Carmena,. á 8.—Retrato del Rey D. Cárlos ir, porSclma, á 6\-—Ochenta estampas, que forman un cuaderno, de los caprichos de G-oya, grabadas por:él mismo, á 200.■—Un viacrucis, inventado por D. Vicente Ló pez , y grabado por D. Miguel Gamborino , á ^o.^Secontinuará.') En el Consejo supremo de Hacienda…</t>
  </si>
  <si>
    <t>ii 19 Madrid 4 de Noviembre. Hoy en celebridad de los días del Rey Padre y de S. A. R. el Sermo. Se ñor Infante D. Carlos, se ha vestido la corte de gala y ha habido besama nos, al que han asistido los grandes de España, los dipurados de los reinos, los embajadores y ministros extrangeros, los ministros de los Consejos, los generales y gefes militares, y otras varias personas, q…</t>
  </si>
  <si>
    <t>i 182 D. Jaime i hasta D. Carlos rv, y las labradas en el sitio- de Barcelona de 1652 con la inscripción: Barcino civitas obsessa, y las acuñadas en la úl-r tima revolución. . V» Sigue después, un catálogo de las labradas en varias ciudades y villas del principado r co»n. noticia de los suge…</t>
  </si>
  <si>
    <t>1232</t>
  </si>
  <si>
    <t>…cripción de la isla de Pinos, unas reflexiones sobre el derecho natural; el discurso pronunciado en la instalación de la Real audiencia de Extremadura; una instrucción secreta del emperador Carlos v á su hijo D. Felipe 11; una memoria de las cosas mas curiosas que hubo en el tem plo de Salomón; una noticia histórica sobre D. Diego Hurtado de Mendoza, y dos noticias sobre canales de España. Las suscripciones continúan recibiéndose en Madrid en la referi…</t>
  </si>
  <si>
    <t>Carlota, Luisa</t>
  </si>
  <si>
    <t>Luisa Carlota</t>
  </si>
  <si>
    <t>…agregarla fácil mente á sus estados según lo manifiesta en sus proclamas. ITALIA. "Ñapóles 2 de Setiembre* Habiéndose ajustado felizmente el matrimonio entre S. A. R. la Princesa Doña Luisa Carlota, hija de S. A. R. el Duque de Calabria, Príncipe here dero del reino de las Dos Sicilias, y S. A. R. el Infante de España D. Fran cisco de Paula, hijo de S. M. el Rey Cárlos iv, y habiendo S. M. Católica Fernando vii .comisionado al Excmo. Sr. D. Pedro Gómez…</t>
  </si>
  <si>
    <t>…mayor cariño háeia S. M. Católica y .el Sr. Infante, y el alto aprecio que, hace de la nación es pañola. El Sr. Embajador pidió á SS.AA. RR. períhisd-para presentar á la Pjrincesá^Doña Luisa Carlota el retrato y urfa Carta dé Sü ail^üstCf^Es^oso; y ha biendo venido á la sala la Princesa, S. E. le dirigió un breve discurso en ita liano, y le presentó la carta y retrato. S. A. R. antes de admitirlo hizo una profunda reverencia á sus augustos Padres en acto…</t>
  </si>
  <si>
    <t>…r en matrimonio al muy alto y muy poderoso Sermo. In fante D. Francisco de Paula Antonio, su augusto Hermano, con la muy alta y muy poderosa Princesa del reino de las Dos Sicilias Doña Luisa Carlota, ni ja de los Serenísimos y muy excelsos Príncipes herederos del mismo reino D. Francisco y Doña María Isabel , Duques de Calabria ; y para que asi se verificase, S. M. el Rey nuestro Señor trató con S. M. el Rey del reino de las Dos Sicilias, habiéndose conv…</t>
  </si>
  <si>
    <t>…eyó en alta voz la escritura de los contratos matrimoniales del muy alto y muy poderoso Se renísimo Infante D. Francisco de Paula Antonio, y de la muy alta y muy poderosa Princesa Doña Luisa Carlota, alumbrándole un ayuda de! Redi guarda-muebles de S. M. con uno de los candeleros que había sobre dicha mesa. Había ademas prevenida otra, lía cual puso delante de SS. MM. el Rey v Reina nuestros Señores D. Luis Beldrof, aposentador honorario de pa lacio , co…</t>
  </si>
  <si>
    <t>Carmona, Manuel Salvador</t>
  </si>
  <si>
    <t>Manuel Salvador Carmona</t>
  </si>
  <si>
    <t>…avestruz, por D. Blas Ametlier, á 40 rs.— La pesca del cocodrilo, por D. Pedro Moles, á 40. —El Cristo de. la Paz, por Carmona, i 20.Z: Diez vistas del Real sitio de Aranjuez, por D. Manuel Salvador Carmona, Selnia y otros buenos profesores, cada estampa á 20 rs. zz Jesús, María y Josef, del original de Morillo, á 12. QSe continuará.') En virtud de facultad Real concedida á la Excma. Sra. condesa de Mora, mar quesa de Valdecarzana, cometida su egecución -y cumpl…</t>
  </si>
  <si>
    <t>Caro, Antonio</t>
  </si>
  <si>
    <t>Antonio Caro</t>
  </si>
  <si>
    <t>…noche que caminé para Sombrerete,y libertaron á varios soldados de fieles realistas dé Ixhiiatlan del caudaloso rio de Vinasco. ■ ' ‘ : / ,,El subteniente de realistas de Huexütla D. Antonio Caro y el de su clase D. Pedro Santos de Ghicóntepec supieron oportunamente auxiliarme con U mayor intrepidez con 20 infantes ae los suyos, cuando me, vi envuelto cóii soló 7 dlagóiies él día de la acción de Sombrerete éntre mas de 50 rebeldes. ,, El subteniente.…</t>
  </si>
  <si>
    <t>Caro, Manuel Lerena y</t>
  </si>
  <si>
    <t>Manuel Lerena y Caro</t>
  </si>
  <si>
    <t>…mano Josef de la Cruz Menacho, de Puerto-Real: D. Juan Loustalet, de Cádiz: D, Agustín Fernandez, de Bornos: D. Juan Bolaños, de Zalamea: D. Pedro Romero Balmaseda, de Se villa; y D. Manuel Lerena y Caro, de Trebujena. El caballero Espinosa mostró á nombre de lá hermandad su satisfacción al</t>
  </si>
  <si>
    <t>Carranza, Ramón de</t>
  </si>
  <si>
    <t>Ramón de Carranza</t>
  </si>
  <si>
    <t>Gaceta de Madrid n.º 28</t>
  </si>
  <si>
    <t>239</t>
  </si>
  <si>
    <t>…proposiciones que se hagan , y se rematará el surtido en el mejor postor ante el asesor general de la Real casa y escribanía de cámara de la suprema junta patrimonial del cargo de D. Ramón de Carranza ; lo que se avisa al público por los periódicos de esta corte, como asi bien por los de las ciudades de Valencia y Murcia, para que llegando á noticia de todos los que pretendan entrar en dicha contrata x hagan sus proposiciones; en inteli gencia que está señ…</t>
  </si>
  <si>
    <t>Carrasco, Antonio</t>
  </si>
  <si>
    <t>Antonio Carrasco</t>
  </si>
  <si>
    <t>…n la de Brusi. .' v I ;;-o &gt; En la librearía de Qila, calle de las Carretas,. se hallará la música siguiente para la guitarra, Bien copiada y revisada: wals huevo de M-d Rey , por D. Antonio Carrasco y coleccion d&amp; waíses del mismo,-én que se-reune-el buen~güstocon-la- armonía propia del instrumento ; candon ñueva del: placer yf apena', delmifcmo ^ cavatina de la ópera la Gríseldauá la cabana del bien que -ador con acomípañamlentopor?él mismo.;-; aria de…</t>
  </si>
  <si>
    <t>Gaceta de Madrid n.º 118</t>
  </si>
  <si>
    <t>…ados y emplazados, con término de un mes, contado desde i.° del corriente, D. Josef Joaquín de Valdearenas, D. Josef Valero Espinosa , natural de Moneada, en el reino de Valencia, D. Antonio Carrasco, de Gén.ova, D. Rafael Correa, Joa quín Rodríguez, de Asturias, Doña Rosa Velazquez, Doña Teresa González, de Valladolidi Antonia Carreras, de Valdemoro, y D. Francisco Vigil, del reino de Francia, y sus sucesores, como legatarios de los Éxcmos. Sres. D. Fran…</t>
  </si>
  <si>
    <t>Carrasco, Ignacio</t>
  </si>
  <si>
    <t>Ignacio Carrasco</t>
  </si>
  <si>
    <t>…le Jiabia prevenido se emboscó á las inmediaciones de Sta. Ana, aguar dando los repiques de misa mayor,\á cuya hora concurrían los rebeldes, des-; tacando al alférez de realistas D. Ignacio Carrasco, para que con 30' caballos* se situase por otro lado del pueblo para que á tiempo oportuno saliese á cor tar Ja retirada a los rebeldes. Luego que Silva observó que* el cabecilla Juan*’ pernal; procedente del valle de Santiago, se hallaba ya adentro con su ge…</t>
  </si>
  <si>
    <t>…arías gracias al capitán Regue ra, y á todos lasque concurrieron á la expedición, y ha concedido al alfé^rez debrea^nsiffntoiáe: Nueva-España D. Rafael Silva, y á los de realistas Don Ignacio Carrasco y D. Luis Roaro él grado de tenientes en su respectiva cla se. El de alférez de realistas al patsatío 0. Cayetano Soríano, y la gratifica-* clon de 20 pesos por mitad de las Contribuciones de Acambaro á los paisanos Josef María Nuvíllo y Valentín Malagon. Madrid $ de Octubre…</t>
  </si>
  <si>
    <t>Carrasco, Isidora</t>
  </si>
  <si>
    <t>Isidora Carrasco</t>
  </si>
  <si>
    <t>…obispado de Cuenca, hija de D. Juan y Doña María Gallego, abintestato (pues aunque se halló entre sus papeles una declaración de pobre, en que instituía por heredera á su hermana Doña Isidora Carrasco, parece haber fallecido anteriormente) se radicaron los autos de abintestato ante el Sr. D. Joaquín de Almazan, del Con sejo de S. M., teniente corregidor de esta muy heroica villa, y escribanía de Dan Antonio Villa y Fernandez, por cuyo juzgado se ha mandado…</t>
  </si>
  <si>
    <t>Carrasco, TabíO Lorenzo Largo</t>
  </si>
  <si>
    <t>TabíO Lorenzo Largo Carrasco</t>
  </si>
  <si>
    <t>…icho día 23 no había egecutado aun, esperando cerciorarse mas para no aventurar su aictámen en ma teria tan delicada. El Rey nuestro Señor se ha servido conceder su Real permiso á D. TabíO Lorenzo Largo Carrasco, canónigo doctoral de la iglesia de Cuenca , para el. uso de la insignia de la cruz de caballero de la Espuela dorada con que S. S/ le ha condecorado. Se cita, llama y emplaza á lós acreedores de la testamentaría de D. Pedro Juan dé Reclu&amp;a, que no han: Compa…</t>
  </si>
  <si>
    <t>Carrascosa</t>
  </si>
  <si>
    <t>…recerán enteramente en virtud del convenio que ha hecho nuestra corte con la de Roma por medio de monseñor Pacca, presidente de policía de los estados pontificios , y del teniente general Carrascosa, coman dante de la primera división militar del reino de Nápoles: convenio que de be necesariamente producir la extirpación de todos los robos, y establecer una absoluta seguridad en los caminos, si, como es de esperar, se observa coa todo el rigor y exactitu…</t>
  </si>
  <si>
    <t>Carrera, Luis</t>
  </si>
  <si>
    <t>Luis Carrera</t>
  </si>
  <si>
    <t>•Menocal, teniente D. Mantiél Ortfzyy los graduados D. Pedro María, Ana ya, D. Luis Carrera, D. Ignacio Romero Pando y *D. Manuel González , al féreces D. Melchor Armenteros, D. Apolinario Rodea y D. Miguel Rodrí guez. Dragones de S. Luis: teniente coronel graduado D. Anastasio Bustamante, capitán graduado D. Felipe Mendez, teniente D. Manuel Muñoz,…</t>
  </si>
  <si>
    <t>Carreto, Ana María de Herrera</t>
  </si>
  <si>
    <t>Ana María de Herrera Carreto</t>
  </si>
  <si>
    <t>…Herrera Cajiga, vecinos del lugar de Caucedo en el valle de Camargo, se comunicó traslado á los interesados por auto de 25 de Noviembre de dicho año, que se hizo notorio á la Sra. Doña Ana María de Herrera Carreto yPalazuelos, viu da del Sr. D. Josef Joaquín de la Puente, marques de Villapuente de la Peña, ve-, ciña del lugar de Muriedás en dicho valle de Camargo, á virtud del despacho que se libró con fecha 20 de Diciembre del propio año á instancia de la parte del Do…</t>
  </si>
  <si>
    <t>Carreto, Fernando de Herrera</t>
  </si>
  <si>
    <t>Fernando de Herrera Carreto</t>
  </si>
  <si>
    <t>…do de nacimiento, y en su defecto al que se le crease por la justicia de su domicilio; y asimismo á D. Josef Roque y D. Santiago de Herrera Cevallos, otros dos hijos del expresado D. Fernando de Herrera Carreto, cuyo des pacho se recogió, y no resulta haberse devuelto. Y ahora últimamente, á instancia de los hijos y herederos de los precitados D. Francisco Fernandez de Heras y de Doña Manuela de Herrera Cajiga, he mandado que por retardado se haga saber á las person…</t>
  </si>
  <si>
    <t>Carreto.y, Fernando de Herrera</t>
  </si>
  <si>
    <t>Fernando de Herrera Carreto.y</t>
  </si>
  <si>
    <t>…villa, por el presente hago saber: que por mi juzgado y escri banía del número de D. Miguel Gonzalo se halla radicada la testamentaría que se formó con motivo del fallecimiento de D. Fernando de Herrera Carreto.y se prac ticó la correspondiente liquidación, cuenta y partición del caudal que dejó en 23 de Octubre del año pasado de 1763 entre sus cuatro hijos . á saber , Doña Ana Ma-</t>
  </si>
  <si>
    <t>Carriles, Juan</t>
  </si>
  <si>
    <t>Juan Carriles</t>
  </si>
  <si>
    <t>…hasta lo grar su total exterminio, dispuse que el siguiente dia 7 saliese una partida compuesta de 30 infantes y 25 caballos á las órdenes del capitán del batallón de Sto. Domingo D. Juan Carriles, con el objeto de que recorriese el rumbó de la hacienda del Cristo, en donde consiguió se le presentase á. gozar de la Real gracia de indulto el titulado capitán Martin Ramírez, quien entregó unos ornamentos y vasos sagrados, según consta en la noticia que l…</t>
  </si>
  <si>
    <t>Carrílfó, Juan Anfónro Oónzaíez</t>
  </si>
  <si>
    <t>Juan Anfónro Oónzaíez Carrílfó</t>
  </si>
  <si>
    <t>…ilo, á 6.—Un vínareTo y una Vendimiadora .por originales del propio autor, á 4 rs. cada una. Cristo crucificado, pintado pqr Vetazqaerz y ó. (.Se continuará. &gt; Por providencia del Sr. D. Juan Anfónro Oónzaíez Carrílfó&gt;déFCon^ejó de Sf. Hf. en el súpremó de'Castilla /jüezqué ea virtud, de Real. 6rden COnócé'cíefos autos é incjdéíicífáf del Concurso fdnhádó‘á;lósjbí^ités' :de í^. Francisco y D. Sebastian Neva res de Santoy ó, sé ha man dado cífar,' ll ama r y émpía/ar, como…</t>
  </si>
  <si>
    <t>Carrillo, Antonio Domínguez</t>
  </si>
  <si>
    <t>Antonio Domínguez Carrillo</t>
  </si>
  <si>
    <t>…ica, asi corno á los que manifestaron mayores adelantamientos en la lengua latina. Y habiéndose adjudicado .el premio destinado para los maestros de gramática latina al pre ceptor D. Antonio Domínguez Carrillo, se p3só á distribuir varios premios á las niñas que mas se distinguieron en coser é hilar , tanto lino como algodon, y ert las demas labores propias de su sexo. Finalmente el premio dedicado al fomento de la loza blanca se adjudicó al alfarero Juan Sahonet p…</t>
  </si>
  <si>
    <t>Carrillo, Juan Antonio González</t>
  </si>
  <si>
    <t>Juan Antonio González Carrillo</t>
  </si>
  <si>
    <t>…da se halla en término del despobla do de Vilches, inmediata á la villa de Arganda del Rey, y se, saca por tiempo de siete años, I contar desde i.° de Enero de 1819, acuda ante el Sr. D. Juan Antonio González Carrillo, del Consejo Supremo de Castilla, juez comisionado, por la escri-; bánía de provincia de EX Juan Antonio Díaz Noriega, que despacha D. Pedro Josefa de Ibabe, que se le admitirá siendo arreglada; previniéndose que para su remate está señalado el dia 31 del cor…</t>
  </si>
  <si>
    <t>Carrillo, Tomas</t>
  </si>
  <si>
    <t>Tomas Carrillo</t>
  </si>
  <si>
    <t>…. ; * J-l r, Campo 'oblante del Paolf D. EstébanPrado, aprobado .eir su empleo def teniente y Don personal. r i/'-rC v . ¡ -i. o-' \j ■ Segundo ayudante de1 cirugía del egército. D. Tomas Carrillo la no** bleza personal. . , : : - r - Segundos practicantes de cirugía. D. Juan Rodríguez la nobleza per sonal : D’.' i Francisco Ortega idémiy-D. RamoaRodriguez ídem. ^ Escuadrones de- guias del general juc han sido aprobados casus empleos. Cápitartfés’: Ped…</t>
  </si>
  <si>
    <t>Carrillo, Vicente Cenon</t>
  </si>
  <si>
    <t>Vicente Cenon Carrillo</t>
  </si>
  <si>
    <t>…sin nacer falta; y al cabo de caballería Cristóbal Velazquez •; todos estoí obraron y cumplieron con la mayór exactitud. „ Asimismo recomiendo al teniente político de este pueblo D. Vicente Cenon Carrillo, á D. Ramón Solprsano, á. D. Francisco Ochoa, á D. An tonio Ochoa y D. Francisco Manrique, que con retacos propios hacían fue go al igual de la infantería donde se les ordenaba; y asimismo á D. Pablo Luna con sus dos hijos. - - . • ,, Se lo comunico á vmd. pa…</t>
  </si>
  <si>
    <t>Carriola, V Ícente</t>
  </si>
  <si>
    <t>V Ícente Carriola</t>
  </si>
  <si>
    <t>…de Rey de la plaza de Veracruz, y comandante del castillo de S. Juan de Ulna. ” También se ha servido S.M- conceder la tenencia de Rey de la plaza de Seu de ürgel, en Cataluña, á D. V Ícente Carriola, comandante del tercer batallón del regimiento fijo de Ceuta: la capitanía de llaves de la de Oiivencia al alférez D. Jaime Miguel, sargento primero del .regimiento de húsares de Bailen, y la de Ceuta al subteniente graduado dé infantería D. Juan Car ril , qu…</t>
  </si>
  <si>
    <t>Carro', Francisco</t>
  </si>
  <si>
    <t>Francisco Carro'</t>
  </si>
  <si>
    <t>…a gaceta, á Don Juan Al. Sivilla, su? hijos, herederos y sucesores,. para que por sí, ó por medio de procurador qón poder bastante sé“ muestren: parte en el expediente formado por Don Francisco Carro', vecino de la villa de Baena, sobre reintegro de lin vale Real dé ^00.pesos dé la creación de i.0 de Enero de tZóg; con apercibimiento que no verifiéindioío deiitro.de dicho término les'parará él perjuicio que haya lugaT. , Domingo Pedro y Antonia Fernandez P…</t>
  </si>
  <si>
    <t>Carro, Francisco</t>
  </si>
  <si>
    <t>Francisco Carro</t>
  </si>
  <si>
    <t>…ente, á D. Jluan Mauricio Oquena, sus hijos;'herederos ó sucesores, para que por sí, ó por m^dia ¿e procurador.con 'poder bastante, se muestren parte en el expediente formadoo por D. Francisco Carro, vecino de la villa.de Baena , sobre reintegro de un valellteal de 300 pesos de la creación de ií° de Enero de 809; con apercibimiento que n® lo» verileando dentro de dicho término les parará el perjuicio que haya lugar. . Quien quisiere haqcer postura á la c…</t>
  </si>
  <si>
    <t>…á D; Juan Mauricio Oquená," sus' hijqáyhérédéfOs ó' sucespresi para que por sí ó por medio dé procurador ,'con poder bástáñte ¿ sé mués-*" tren parte éri el expediente formado por D. Francisco Carro , vecino de la villa dé Baeña, sobre reintegro de un vale Real de- 300 pesos'dé la creación de 1 * dé Eñe-1 ro de 899'i con apercibimiento que, no verificándola en el dicho término^ lés parará e^ -perjuicio que fiaya¡ lugar. ! , , . ; . m ' Habiéndose puesto…</t>
  </si>
  <si>
    <t>…cacion, 3 D. Juan Mauricio Oquena, sus hijos, herederos ó sucesores, para qué por éí ó por medio de procurador, con'poder bastante, se muestren parte en el expe diente formado,por D. Francisco Carro, vecino de la villa de Baena, sobre reintegro de un vale Real de 300 pesos de la creación de i.° de Enero de 1809; con aperci bimiento que pasado dicho término sin egecutarlo se determinará en estrados por su rebeldía, parándoles el perjuicio que haya lugar.…</t>
  </si>
  <si>
    <t>…publicación, á D. Juan M. Sibílla, sus hijos, herederos y sucesores, para que por sí ó por medio de procurador, con poder bas tante, se muestren parte en el espediente formado por D. Francisco Carro, vecino de la villa de Baena, sobre reintegro de un vale Real de 300 pesos, creación de i.° de Enero de 1809; con apercibimiento que no verificándolo dentro de dicho término les parará el perjuicio que haya, lugar. ¡ .. . ¿ Se halla vacante el partido de ciru…</t>
  </si>
  <si>
    <t>Cartagena, Alfonso de</t>
  </si>
  <si>
    <t>Alfonso de Cartagena</t>
  </si>
  <si>
    <t>…y D. Antonio de.Ulioa: iy. D..Pablo de Sta..María, el P. Diego Lainez, Fri. Gerónimo Gracian de la Madre de Dios , D. Josef del Campillo, el Car,denai IX íraticisco de Mendoza, y D. Alfonso de Cartagena. ¿ &amp; continuará.) ■ ■■■■■'■» ■ *— ;-- - ........— ■ - "■■■ ....... ■ 1 " —.... .i ■■■■■ —.. Él Sr. D. Angel Fernández de los Ríos, del Consejo de S. M., teniente primero de corregidor de ésta muy heroica villa, ha señalado para la celebración de una jun ta de…</t>
  </si>
  <si>
    <t>Cartagena, Francisco</t>
  </si>
  <si>
    <t>Francisco Cartagena</t>
  </si>
  <si>
    <t>…6, DvJuan; Jósef Echezuria y Echeverría 6 &gt; D. Pablo Gascue ■*, D. Manuel Manrique y Sierra 6' ,T). Feliciano Palacios 6yD. Juan • Josef Bahamondé 6 , D. Manuel García de Noda 2 , D. Francisco Cartagena 6, jb. Jaime Cedo 4, D. Manuel Franco y, D. Ignacio Sosa 6, D* Bernardo Ferrara 6 , D. Juan Lander 4, Doña María Gerónima Tovar 4, D. Andrés . de Ibarra 1, D. Juan de la^ Madriz: 3 , D.; Josef María Madriz. 1, D. Juan Josef Rivas y Pacheco 2, D. Lorenzo Lasa…</t>
  </si>
  <si>
    <t>Cartagena, Josef de</t>
  </si>
  <si>
    <t>Josef de Cartagena</t>
  </si>
  <si>
    <t>…. Josef Alonso, á D. Miguel Modet, oidor de la audiencia de México; á D. Josef González Tizón , oidoír de la de Cataluña, ambos con su antigüedad; á D. Francisco Xavier Borrulf, y D. Josef de Cartagena, oidores en comisión que han sido de la misma au*diencia de Valencia; y para la plaza de fiscal de lo criminal, vacante en el propio tribunal , también por jubilación de D. Antonio Saenz de Viz manos* á D. Josef Ayuso y Navarro, catedrático de prima de leyes…</t>
  </si>
  <si>
    <t>Carvajal, Dámaso</t>
  </si>
  <si>
    <t>Dámaso Carvajal</t>
  </si>
  <si>
    <t>…algunos carecen de esta arma. ,, Dios guarde á V. E. muchos años. Querétaro Enero 28 de 1818 — Excmo. Sr. = Rafael Bracho. =: Excmo. Sr. virey D. Juan Ruiz de. Apodaca.” Parte del sargento Dámaso Carvajal. , ' . ,,.Én el día de hoy á las tres de. la mañana .me qvisaron que 80 rebeldes estaban robando los ranchos de Calamandra: ai instante salí,con 23;hombres en persecución de'ellos , y les di alcance en Santa Riaga, donde se formaron, y al instante que les hic…</t>
  </si>
  <si>
    <t>Carvajal, Felipe</t>
  </si>
  <si>
    <t>Felipe Carvajal</t>
  </si>
  <si>
    <t>…referido Alvarado, al subteniente del mismo regimiento de Celaya D. Valentín Canalizo, á los sargentos del expresado cuerpo D. Fran cisco Tabera y D. Luis Almaraz, al del Príncipe D. Felipe Carvajal, y a"* los oficiales de realistas que existían allí, de que daré cuenta á V. E. opor tunamente para que se sirva alcanzar la aprobación de S. M., y he dado á todos los que componían aquel pequeño destacamento y la partida que lo auxilió, un escudo de distinci…</t>
  </si>
  <si>
    <t>Cas, Juan de Moya</t>
  </si>
  <si>
    <t>Juan de Moya Cas</t>
  </si>
  <si>
    <t>1247</t>
  </si>
  <si>
    <t>…nidad que se acostumbra y es debida. ARTICULO DE OFICIO. Por Real resolución de 26 de Noviembre último, á consulta del Consejo supremo de la Guerra, se ha servido S. M. conceder á D. Juan de Moya Cas tillo, médico de la ciudad de Ubeda, el fuero militar y uso de uniforme de practicante de número de medicina de egército, en premio de los servicios que ha hecho en esta clase en los hospitales de campaña en la última guerra; declarando al mismo tiempo le ha…</t>
  </si>
  <si>
    <t>Cas, Manuel del</t>
  </si>
  <si>
    <t>Manuel del Cas</t>
  </si>
  <si>
    <t>…or arribo felizmente á este puerto la expedición marítima con destino al mar del Sur, convoyada por la fragata de guerra la Reina Ma ría Isabel, por hallarse gravemente enfermo su comandante D. Manuel del Cas tillo. Habiendo repuesto todos los buques su aguada consumida hasta enton ces desde su salida de Cádiz, y trasbordada la tropa, víveres y demas efec tos de un trasporte que hacia bastante agua á los otros buques, volvió á ha cerse á la vela la expedición el d…</t>
  </si>
  <si>
    <t>Cas, Matías</t>
  </si>
  <si>
    <t>Matías Cas</t>
  </si>
  <si>
    <t>…ales¿ D. Juan Campos 2 pesos, D. Juan Insua 2 , Don Francisco Rodríguez Mesa 2 * Sres. Perez y Chaves 4, D. Ramón Gutiér rez 6, D. Feliciano Borges 4, D. Josef Hernández Horta 4 , D. Matías Cas tro 4, D. Juan V ícente Perez 2, D. Antonio García 2 , D. Pedro Castillo 4, D. Josef Antonio Rasquin 5 , D. Francisco de Iturbe 10, D. Ramón de Azpurua 5 , Dv Miguel Rabelo Alcántara 16, D. Félix Domingo Martínez 2 , Don Juan: Esteban de dEehezuria 20, D. Ber…</t>
  </si>
  <si>
    <t>Cas, Rafael</t>
  </si>
  <si>
    <t>Rafael Cas</t>
  </si>
  <si>
    <t>…e 1818. = Exce lentísimo Sr. = Bernardo López. = Excmo. Sr. virey D. Juan Ruiz de Apo daca.” MEXICO. Oficio del teniente coronel y comandante de la línea del norte de esta capital D. Rafael Cas asóla. : ,, Excmo. Sr.: El territorio de esta línea del norte de mi cargo logra una total tranquilidad, sin haber bandido alguno que la infeste. ,,Dios guarde á V. E. muchos años. Guadalupe Mayo i.° de 1818.=rExceIentísimo Sr. = Rafael Gasasola. = Excmo. Sr.…</t>
  </si>
  <si>
    <t>Casado, Josef</t>
  </si>
  <si>
    <t>Josef Casado</t>
  </si>
  <si>
    <t>….° ,,Excmo. Sr.: Con fecha 13 del corriente me dice el sargento mayor D. Josef Castro desde el pueblo de Zinapécuaro haber dispuesto saliese la no che del 12 el alférez de Moneada D. Josef Casado con 25 dragones á Santa Ana Maya á sorprender una gavilla del cabecilla capitán Juan Nepomuceno Briones que hostilizaba aquel territorio, habiendo sido el resultado la apreheasion de dicho rebelde, otro titulado teniente y 2 soldados, quitándoles 10 ca ballos…</t>
  </si>
  <si>
    <t>Casal, Ramón</t>
  </si>
  <si>
    <t>Ramón Casal</t>
  </si>
  <si>
    <t>…is Cla^ vareza, D. Juan Corvera y D. Josef Echániz. En álgebra'D. Manuel Rodrí guez Almeida. En geometría ios citados Almeída y Clavareza, D. Manuel María Riberos, D. Vicente Rey, D. Ramón Casal y D. Joaquín Clavareza. En trigonometría plana el mismo Clavareza, los citados Riberos y Rey, Don Josef Alonso y D. Josef Vicente Veiga. En trigonometría esférica los mismos Alonso, Veiga, Riberos, Rey, D. Joaquín Clavareza, D Felipe Martínez, D. Florencio Pereira, D. Francisco Pum…</t>
  </si>
  <si>
    <t>Casals, Antonio Francisco</t>
  </si>
  <si>
    <t>Antonio Francisco Casals</t>
  </si>
  <si>
    <t>…s compañeros y los justos aplausos que se habían merecido, co mo la mucha concurrencia que vino á honrarlos, esperando un resultado igual al del primer dia. Abrió pues el certamen D. Antonio Francisco Casals, teniente de infantería ligera en el regimiento de Hostalrich, manifestando que eran incalculables las ventajas que el comercio había proporcionado á la ri queza pública y á la humanidad. La extensión de la proposición que defendía dió margen á que los señore…</t>
  </si>
  <si>
    <t>Casals, Pedro</t>
  </si>
  <si>
    <t>Pedro Casals</t>
  </si>
  <si>
    <t>intrepidez del capitán D. Pedro Casals, y de lo$ tenientes D. Josef Rom y D. Josef Abreos, y el de los sargentos primeros Josef Luengo y Francisco Carraiedo, y el segundo Antonio Vázquez, el cabo primero Diego Mesa, y los granaderos Josef Lugo y Silvestre Pbnce t del de Clarines el capitán gra dua…</t>
  </si>
  <si>
    <t>Casamadrid, Cipriano</t>
  </si>
  <si>
    <t>Cipriano Casamadrid</t>
  </si>
  <si>
    <t>…rebeldes que se aproximaron por el poniente de esta ciudad con objeto de robar el ganado; que fue recobrado en la ma* ñaña del 9 del corriente. „ Recomiendo á V. E. al distinguido D. Cipriano Casamadrid y cabo de estos realistas Alejandro Vences, á cuyo valor se debe el corto fruto de esta ^alida, y á este mismo;, que ha dado siempre muchas pruebas de valoróla prisión del asistente del cabecilla Cabrera, que después de los auxilios espirituales ha sido fusil…</t>
  </si>
  <si>
    <t>dos ál cargo del distinguido D. Cipriano Casamadrid , que quedaron distan tes á retaguardia por si bajaban algunos, y lograba castigarlos : bajaros ean efecto el cabecilla Cabrera y su asistente, y emboscándose el referido cabo Vences y otro realista, lograron coger al asistente montado y armado con carabina y…</t>
  </si>
  <si>
    <t>Casanova, Josef Ignacio</t>
  </si>
  <si>
    <t>Josef Ignacio Casanova</t>
  </si>
  <si>
    <t>…gualmente los egercicios con la distribución de premios que se acostumbra. Madrid ii de Marzo. ARTICULO I&gt; E OFICIO. El Rey nuestro Señor se ha servido conceder su Real permiso al capitán D. Josef Ignacio Casanova, regidor perpetuo del excelentísimo ayuntamien to de Guayaquil, para que pueda usar la condecoración de la ñor de Lis con que le ha agraciado S. M. Cristianísima. Igual permiso se ha servido S. M. conceder á D. Félix Martínez Saavedra, regador perpetuo de Ciu…</t>
  </si>
  <si>
    <t>Casanovas, Manuel</t>
  </si>
  <si>
    <t>Manuel Casanovas</t>
  </si>
  <si>
    <t>…za pública; D. Francisco Vintró un poema latino en elogio del Angélico Dr. Sto. Tomas; D. Josef Radia y Vilarmau, colegial, un discurso sobre la utilidad de los certámenes, y otro Don Manuel Casanovas de la importancia de la aritmética y doctrina cristiana. Le yeron con la debida puntuación ; manifestaron sus progresos en los varios ca racteres, su inteligencia en la aritmética con la solución de cuantos problemas se les propusieron , y su plena instrucció…</t>
  </si>
  <si>
    <t>Casares, Juan</t>
  </si>
  <si>
    <t>Juan Casares</t>
  </si>
  <si>
    <t>…la creación de i.° de Mayo de 1814, con los números 6582 y 10113 : el sugeto que los haya encontrado se:ser virá entregarlos al cura mayor de dicho lugar de Bárcena, ó en Madrid á D. Juan Casares, calle del Viento, núm. 102. Se halla vacante el partido de cirujano de la villa de Fuenlabrada de los Mon tes, en la.provincia de Extremadura, y partido de Trujillo, cuya población es de 300 vecinos: su dotación consiste en 160 fanegas de trigo anuales, cobr…</t>
  </si>
  <si>
    <t>Casariego, Cayetano Blanco</t>
  </si>
  <si>
    <t>Cayetano Blanco Casariego</t>
  </si>
  <si>
    <t>311</t>
  </si>
  <si>
    <t>…ico director de ellas sobre si podrá ó no convenirles el beberías ó bañarse en ellas , y no salir de sus ca sas sin el debido conocimiento, dirigirán sus cartas francas de porte á Don Cayetano Blanco Casariego, que reside en la villa de Avilés por ahora , y durante los meses de Mayo, Junio, Julio, Agosto , Setiembre y Octubre en el mismo punto ó en el mas próximo á él, conforme con lo que el Rey nues tro Señor tiene mandado en el reglamento que se ha dignado aproba…</t>
  </si>
  <si>
    <t>CasaS, Josef</t>
  </si>
  <si>
    <t>Josef CasaS</t>
  </si>
  <si>
    <t>…iento infantería de Valeneiá; y él tercéró por D. Valentín Quitos, que Jó es del escuadrón de caballería Volúiítariqs de España: los de la izquierda, el primero por elcófóñéi vivo D. Josef CasaS, agregado al batallón segundó ligero primero de Cataluña: el segundo por él coronel sargento mayor del campo D. Josef dé Vélasco; y el tercero por el .teniente coronel D. Henrique Ballesteros, espitan del batallón ligero prime ro de Cataluña, siendo ayudante…</t>
  </si>
  <si>
    <t>Casas, Josef Lgnacio</t>
  </si>
  <si>
    <t>Josef Lgnacio Casas</t>
  </si>
  <si>
    <t>do Muro 6 , D. Josef Lgnacio Casas 8, Doña María Josefa Blanco y herma-, na 2 , D. Juan Vicente Arévalo 2 , D. Sebastian Fernandez de León 6, Don Pedro Bahamonde 4, D. Siiverio Galarraga 2, D. Fermín Castillo Beitia y hermanos 4 , D. Ignacio Diaz 2, Doña Josefa Solórzano 1, el presbítero Dorr…</t>
  </si>
  <si>
    <t>Casasola, Rafael</t>
  </si>
  <si>
    <t>Rafael Casasola</t>
  </si>
  <si>
    <t>…8 de i8i8.=Excmo.. Sr. zz Pedro de Antoneli. =Excmo.. Sr.. virey D.. Juan Ruiz. de Apodaca.” MEXICO. Oficia del teniente coronel y comandante de la línea del norte de esta capital D. Rafael Casasola. ,rExcmo. Sr.: El territorio de esta* línea-de mi cargo se halla; tranquilo sin ocurrir novedad digna del superior conocimiento de V. E. „ Dios guarde a V. E. muchos años. Guadalupe Abril 5: de i8í8.=Excmo.. Sr. =. Rafael Casasola^=;Excmo.. Sr.. virey D.. Jua…</t>
  </si>
  <si>
    <t>Casaus, Pedro Ferrer y</t>
  </si>
  <si>
    <t>Pedro Ferrer y Casaus</t>
  </si>
  <si>
    <t>…vn. en papel ordinario y sin tablas, y con ellas 20 : los en papel fino con tablas y á la rústica 22 y en pasta .32. Berta y Richemont, novela histórica, traducida del francés por D. Pedro Ferrer y Casaus. Él aprecio que han merecido siempre del público las historias de María,, y de Antonio y. Juanita, aseguran la indulgencia con que recibirá esta nueva produc ción del mismo autor que aquellas. En efecto, su argumento es de los mas interesan tes , su moral es…</t>
  </si>
  <si>
    <t>Caslereagh</t>
  </si>
  <si>
    <t>…ivo tenga pérdidas por haber colocado su capital en los fondos extrangeros, habrá de sufrirlas pacífica mente, ó reclamarlas por los medios que juzgue convenientes. „ Sería, dijo; lord Caslereagh, una doctrina .extraordinaria el admitir por principio, que un Gobierno.se halla coijiprometido en su crédito, ó dominado en sus operaciones por las especulaciones voluntarias de los particulares En la misma sesión hizo el canciller del Echiquier otras declar…</t>
  </si>
  <si>
    <t>Cass</t>
  </si>
  <si>
    <t>…ad. Idem 26V En un periódico ministerial de los Estados-Unidos,impreso en Washing ton , se dice haberse firmado un tratado el 29 de Octubre en las orillas del lago Erié , entre el gobernador Cass y el general Mac-Arthur, comisario nombrado por el presidente y los gefes de las naciones Wicindot, Delawá*re, Shwanes, Seneca , Ottoway, Chíppewa y Pototvatamy , las cuales han cedido á los Estados-Unidos todas las tierras que les pertenecían en el territo r…</t>
  </si>
  <si>
    <t>Castalia, Josef</t>
  </si>
  <si>
    <t>Josef Castalia</t>
  </si>
  <si>
    <t>…esa, y los granaderos Josef Lugo y Silvestre Pbnce t del de Clarines el capitán gra duado de teniente coronel D. Josef Chauran, el de igual clase D. Braulio Guaita, el subteniente D. Josef Castalia , el sargento segundo Vicente Galban y el cabo primero Josef Vázquez; y de las compañías de Carupano el subteniente D. Jacinto Valdivielso y el sargento primero Andrés Castillo. j»Lo que comunico á V. E. para su conocimiento. Dios guarde á V. E. muchos años.…</t>
  </si>
  <si>
    <t>Castañeda, Josef Antonio</t>
  </si>
  <si>
    <t>Josef Antonio Castañeda</t>
  </si>
  <si>
    <t>…feconocimientó, á fin de examinar el parage por donde pudieran hallarse los enemigos ; pero estando en esto re cibí par ;e del comandante interino de este pueblo capitán graduado D. Josef Antonio Castañeda, diciéndome tenia noticia de que los rebeldes dispersos,de Ja acción de las Tortugas se habían reunido en varias, gavillas; que; una de ellas estaba inmediata á este cuartel, y que con la poca fuerza que tenia le pa recía no poder cubrir las atenciones ae est…</t>
  </si>
  <si>
    <t>Castañeda, Josef María</t>
  </si>
  <si>
    <t>Josef María Castañeda</t>
  </si>
  <si>
    <t>…zález, el corneta Josef Bruc y el cazador Juan Ramos. Son ¡también díga nos de recomendación D. Mauro Camacho, teniente de dragones de Quere-r taro, y los cadetes del mismo cuerpo D. Josef María Castañeda y D. Mariano Sánchez, el alférez de realistas D, Eugenio Torres, y los cabos de Sierragorda D . Vicente M ornes y Joaquín Santos, y el sargento de realistas Josef.Guzman. „ Dios guarde á ymd. muchos años. $. ía-is. de la Paz Junio 3 de 1818. = M araiel Vélazquez. Sr. t-eniente co…</t>
  </si>
  <si>
    <t>Castañeda, Josef Sotero de</t>
  </si>
  <si>
    <t>Josef Sotero de Castañeda</t>
  </si>
  <si>
    <t>…algunas armas de fuego, pidiéndome al mismo tiempo les permitiese vivir en sus casas, y que ayudarán á la defensa de este partido. Entre estos reconocidos se incluye el licenciado D. Josef Sotero de Castañeda con toda su familia, quien con el mayor llanto publicaba á voces el crimen que había cometido contra el Rey</t>
  </si>
  <si>
    <t>…na rusa, una hannoveriana y una sarda, con trigo, cera, centeno, mijo,, habas , harina , ca cao, azúcar, canela, pasas, aguardiente, café &amp;c. ESPAÑA. México 3 de Abril. El abogado D. Josef Sotero de Castañeda, que entre otros muchos su jetos se presentó con su familia á disfrutar el beneficio del indulto , entregó al coronel D. Josef Joaquín Márquez y'Donallo la representación siguiente, dirigida á este Excmo. Sr. virey. ,, Excmo. Sr.: Penetrado de dolor, y conven…</t>
  </si>
  <si>
    <t>Castaños, Francisco Xavier</t>
  </si>
  <si>
    <t>Francisco Xavier Castaños</t>
  </si>
  <si>
    <t>…bernador, director, baile y ayuntamiento de Valls á esta villa, en donde se cantó un solemne Te Dettm, después del cual, en atención á ha llarse allí sepultado el padre del Excmo. Sr. D. Francisco Xavier Castaños, capitán general de los Reales egércitos, y del principado de Cataluña, se celebró una ra?sa,y pronunció una oración fúnebre, con lo cual se dió fin á la solemnidad de este día;cuya memoria conservarán con satisfacción los ha bitantes de entrambas ciudades y…</t>
  </si>
  <si>
    <t>Castaños, Francisco Xavier de</t>
  </si>
  <si>
    <t>Francisco Xavier de Castaños</t>
  </si>
  <si>
    <t>…io de dicha ciudad, y privadamente por esquelas á varias personas de distinción y de literatura, se reunió la Real academia en la sala principal de su casa, pre sidiendo el Éxcmo^ Sr. D. Francisco Xavier de Castaños, capitán general de los Reales egércitos, y de este egército y principado, y presidente nato de ella. Luego el canónigo D. Juan Gerardo Fochs, catedrático de matemáticas y de cosmografía, y socio de número de la propia Real academia, abrió el acto con una bre…</t>
  </si>
  <si>
    <t>…on los mismoá síntomas que anuncié á finés de Enero de este año.” ESPAÑA. Barcelona 26 de Abril. La academia de Ciencias naturales y Artes de esta Ciudad, presidida pofr el Excmo. Sr. D. Francisco Xavier de Castaños, capitán general dé esté egército y principado, celebro junta en 22 del corriente, y en ella su socib D. Rafael María Comes, individuo de la dirección de agricultura, leyó uní memoria , en la cual demostrando la utilidad de estáblécér en este principadb fondo…</t>
  </si>
  <si>
    <t>…oda Europa. El rio, que tiene a® pasos de ancho, cae de una altura de 400 pies, y en invierno se ve sobre la cascada un arco de hielo. ESPAÑA. Madridde Setiembre. . , El Ex tifio. Sr. D. Francisco Xavier de Castaños r capitán general del principado de Cataluña, ha mandado publicar el bando é instrucción siguientes: ,,Es tan notoria la existencia de la. peste en la costa vecina de Africa y su extensión hasta Tánger , como los cuidados det Rey para apartar de sus pueblos e…</t>
  </si>
  <si>
    <t>1042</t>
  </si>
  <si>
    <t>…o cuanto ilustrado concurso que acudió á ambas funciones, y en particular al M. I. Sr. intendente D Juan Bautista de Erró y a la’Real junta que presidia el acto , asi como á S. el Sr. D. Francisco Xavier de Castaños, nuestro dignísimo general; manifestan do todos la complacencia que les causaba el vér premiados los desvelos de la respetable corporación de comercio con el aprovechamiento que van sacando los jóvenes de la instalación de estas escuelas gratuitas, y los nota…</t>
  </si>
  <si>
    <t>…resalientes, D. Francisco Torrents dio las gracias á los concur rentes. Algunos dias después los alumnos de la clase superior de escribir y con tar, bajo la presidencia del Excmo. Sr. D. Francisco Xavier de Castaños, ma nifestaron sus grandes adelantamientos, respondiendo á cuanto se les pregunto relativo á esta enseñanza. Siguió á estos actos un certamen de doctrina cristiana; y habiéndose ad judicado el correspondiente premio al mas sobresaliente , D. Francisco Milla d…</t>
  </si>
  <si>
    <t>Castaños, Vicente</t>
  </si>
  <si>
    <t>Vicente Castaños</t>
  </si>
  <si>
    <t>…llama y emplaza á D¿ Julián Tadeo de los Dolores Pa lacios, soldado que parece fue de laprimera compañía del segundo batallón del re gimiento infantería de Murcia, y asistente del capitán D. Vicente Castaños, hijo de D. Manuel (difunto) y Doña Josefa Calleja, su viuda, nieto y heredero de D. Ramón Palacios, cuya testamentaría pende en el juzgado del Sr. D. Josef Cavarn'iles, deíjConsejo de S. M., su alcalde de casa, corte y provincia,)' escribanía de D. Miguel Jo…</t>
  </si>
  <si>
    <t>Casteila, Rita</t>
  </si>
  <si>
    <t>Rita Casteila</t>
  </si>
  <si>
    <t>…rte, y escribanía de provincia de D. Luis López de Castro, donde se admitirán las que se hagan siendo arregladas en el término de 30 dias, con tados desde el dia 12 del corriente. Doña Rita Casteila, bautizada y casada en la ciudad de Cádiz con D. Josef Lucas, natural de Barcelona, salió de dicha ciudad de Cádiz en el año de 1800 con géneros, mercancías y otros efectos, sin saberse su paradero desde el año de 1803: solo se ha tenido noticia por varios su…</t>
  </si>
  <si>
    <t>Casti, Angel Diaz del</t>
  </si>
  <si>
    <t>Angel Diaz del Casti</t>
  </si>
  <si>
    <t>…el coronel del batallón de Navarra D. Josef Ruiz, la tercera á las del teniente coronel D. Juan Rafols, comandante accidental del ifegimiento primero Americano, la cuarta á las de D. Angel Diaz del Casti llo , coronel del regimiento de Fernando vn de línea , y Ja quinta, compuesta de tropas auxiliares de Guádalajara, a las del coronel aé dragones de la Nue va* Galicia D. Josef Antonio Andrade, por erifeí-medad del brigadier D. Pe dro Celestino Negrete, la dej…</t>
  </si>
  <si>
    <t>Castilla, Pablo de</t>
  </si>
  <si>
    <t>Pablo de Castilla</t>
  </si>
  <si>
    <t>…----------- rm'rmmmT-" P‘T JT";'! v , ; i---r—.r—"í """ ” -r—r . En el Real y supremo Consejo de Hacienda, en sala primera de justicia, y .por la escribanía de Cámara del cargo de D. Pablo de Castilla;, se hallan pendientes au tos entre partes, de la una el señor fiscal por el dere.cKo.de la Real Hacienda,' y de la otra D. Fernando Joaquín Navarro Balboa Zayas, Doña Clara Navarro Balboa,1 D. Alfonso Mateos Fajardo, Doña Isabel An^ Alvarez y Montes, viuda q…</t>
  </si>
  <si>
    <t>Castillo, Manuel del</t>
  </si>
  <si>
    <t>Manuel del Castillo</t>
  </si>
  <si>
    <t>…o del mismo nombre: su precio 18 rs. vn. Estas cartas fueron trabajadas de orden del Rey en 1793 Por brigadier de la Real armada D. Joaquín Francisco Fidalgo y el capitán de navio D. Manuel del Castillo en los bergantines Empresa y Alerta. Se hallarán en Madrid en el despacho de obras de la dirección hidrográfica, calle de Alcalá; en Cádiz en ct depósito particular, casa de la Camorra; en las academias de Reales Guardias Marinas de Ferrol y Cartagena; en los…</t>
  </si>
  <si>
    <t>Castillo, Pedro</t>
  </si>
  <si>
    <t>Pedro Castillo</t>
  </si>
  <si>
    <t>…émargp , se j&amp;a^servido S. M. conferirle el empleó de auditor de Marina de la provincia de Segura de la Sierra. El Rey nuestro Señor se ha dignado admitir el donativo que ha hecho D. Pedro Castillo * canónigo doctoral de la santa iglesia de Daroca, de 4© rea les'vn. en una acción de| fénipréstito de 160 millones y de 2800 á que aS-1 tienden sbs intereses vencidos desdé él año de 1804; y ha mandado ai mismo tiempo se publique en la gaceta para satisfacci…</t>
  </si>
  <si>
    <t>…ez Mesa 2 * Sres. Perez y Chaves 4, D. Ramón Gutiér rez 6, D. Feliciano Borges 4, D. Josef Hernández Horta 4 , D. Matías Cas tro 4, D. Juan V ícente Perez 2, D. Antonio García 2 , D. Pedro Castillo 4, D. Josef Antonio Rasquin 5 , D. Francisco de Iturbe 10, D. Ramón de Azpurua 5 , Dv Miguel Rabelo Alcántara 16, D. Félix Domingo Martínez 2 , Don Juan: Esteban de dEehezuria 20, D. Bernardo Pénelas 20, T). Antonio Na;yarro 20, D. Josef Antonio y D. Manuel M…</t>
  </si>
  <si>
    <t>Castillon, Gerónimo</t>
  </si>
  <si>
    <t>Gerónimo Castillon</t>
  </si>
  <si>
    <t>49</t>
  </si>
  <si>
    <t>…asmo de la tropa y oficiales que tengo el honor de mandar. „Dios &amp;c. Campo de Oscurote y Setiembre 15 de 1817. = Excmo. Señor general en gefe.” Tara zana ja de Diciembre. El limo. Sr. D. Gerónimo Castillon, obispo de esta diócesi, llevado de su ardiente zelo y de los deseos mas eficaces de proporcionar á sus ovejas to dos los recursos y medios mas adecuados para su felicidad, no ha perdonado diligencia alguna desde que llegó á este obispado para reparar y refor…</t>
  </si>
  <si>
    <t>Castle</t>
  </si>
  <si>
    <t>…ormadas las partidas de juego, se retiráis á una pieza inmediata al salón, donde conferencian sobre asuntos políticos hasta muy tarde. Ademas de esto hay todos los dias en casa de lord Castle reagh juntas diplomáticas. .. El lEmptrador Alejandro hace aqui la misma vida que en Petersburgo. Trabaja de las siete á las nueve de la mañana, á cuya hora se desayuna por" lo regular: de 10 á 11 da audiencia: de 11 á dos se pasea, y hace algunas vi sitas ^…</t>
  </si>
  <si>
    <t>Castlereagh</t>
  </si>
  <si>
    <t>…d Mulgrave. Ayer el duque de Welüngton y lord Stewart estuvieron ocupados en la secretaría de Estado y de Negocios extrangeros. A las cinco tuvo el duque una larga conferencia con lord Castlereagh , y comió después en casa de este ministro con varios extrangeros de distinción. Los asuntos de los insurgentes americanos han tomado tan mal aspecto, que aun los hombres mas crédulos no se dejarán ya alucinar con sus prome sas. La muerte del general Piar, la…</t>
  </si>
  <si>
    <t>…go, pueden, subir por los ríos los barcos cargados. GRAN BRETAÑA. f Londres 2 6 de Enero. El conde de Liverpool da hoy un banquete á muchos individuos de la Cámara de ios Pares, y lord Castlereagh tendrá otro á que asistirán los principales sugetos de la Cámara de los comunes. En una^y otra mesa se leerá el discurso de apertura que ha de pronunciarse mañana en el parlamento á nom bre del Príncipe Regente, no pudiendo S. A. R. abrir en persona las sesio…</t>
  </si>
  <si>
    <t>…untado Mr. Hátnmersley si los ingleses que han impuesto capitales en los fondos extrangeros podrían en caso necesario recurrir al Gobierno para la seguridad de aquellos, respondió lord Castlereagh dé un modo positivo, que: en caso de guerra no tendrían que esperar el apoyo del Gobierno los ingle ses que hubiesen colocado de este modo sus fondos. Ésta declaración en boca dfc-ministro de S. M. ha parecido con razón</t>
  </si>
  <si>
    <t>…o, y reemplazar los 24 millones de cédulas que. ya no corrían. Habiéndose suscitado dudas y discusiones sobre la facultad concedida al banco de hacer sus pagos en papel, respondió lord Castlereagh lo siguiente: ,,Puedo asegurar que los ministros no tienen intención de prolongar esta fa cultad, á menos que. sobrevengan circunstancias imperiosas é inesperadas.’’ ’ FRANCIA. ■ Parts 12 de Febrero. Anoche cerca de la una, á tiempo que el duque de Wellington…</t>
  </si>
  <si>
    <t>…dsor. Días pasados hubo un consejo dé ministros, que duró desde las dos de la tarde hasta las cuatro; Ayer se celebró otro, á que asistieron todos los mimYtros, y en seguida, tuvo lord Castlereagh una larga audiencia del. Principó: Regente,. ' ■ 'f FRANCIA, ■ • &gt; • • i V.alence de T&gt;rome 2 de. Abril.. La criada dé una posada de esta ciudad había llegado á-persüadir á su ama, muger muy supersticiosa , que tenia comunicación con los santos y los ángeles,…</t>
  </si>
  <si>
    <t>…Regente, relativo á las nuevas alianzas de la familia Real. En la Cámara de.los Lores ha hecho la propuesta para diferir la discusión el conde de Liverpool, y en la de los Comunes lord Castlereagh. .</t>
  </si>
  <si>
    <t>…irección del célebre Cairova, un monumento á la memoria del cardenal Yorck, último descendien te de la desgraciada casa de Stuardo, Cuando en 1815 el Príncipe Regente por medio de lord Castlereagh puso á disposición de Canova, que á la sazón se hallaba en París, 250© francos para pagar el trasporte á Roma de los ob jetos de las artes que se habían llevado los franceses, se destinaron de esta: cantidad 50® francos para erigir este monumento á la memoria…</t>
  </si>
  <si>
    <t>…d en los caminos, si, como es de esperar, se observa coa todo el rigor y exactitud debida. GRAN BRETAÑA. Londres y de Mayo. CAMARA DE LOS COMUNES. En la sesión de anteayer propuso lord Castlereagh que se renovase por dos años el alien-bill, esto es, la ley que autoriza al Gobierno para echar de Inglaterra á los extrangeros sospechosos. ,,Vengo, dijo este ministro, á pedir la continuación de las providencias relativas á los extrangeros. Este asunto ha s…</t>
  </si>
  <si>
    <t>…es propias para poder presentarlas bajo el mismo punto de vista, y con arreglo á los sen timientos que las han’ dictado.” GRAN BRETAÑA. ' • Londres 20 de Junio. : Anteayer asistid lord Castlereagh á la junta electoral de Westminster para dar su voto por sir Murray Maxwell, y apenas hubo prestado el juramento» de estilo, cuando Mr. Hunt anunció en alta voz al populacho quien era el que acababa de votar, Al punto fue cercado lord Castlereagh por un trope…</t>
  </si>
  <si>
    <t>…la en mas de 100© libras esterlinas. Las noticias de ayer sobre el estado de la salud de la Reina son mas favorables. Hoy se dice que continúa la mejoría de'S MCorre la voz de que lord Castlereagh saldrá mañana de Londres para Aquisgran. Los jornaleros de las fábricas de Manchester en. número de 12 á 15.® hom bres persisten en su resolución de no querer trabajar; y aunque manifiestan grandes deseos de. cometer excesos,. sin. embargo los contiene la pre…</t>
  </si>
  <si>
    <t>9*9 GRAN BRETAÑA. Londres i o. de Agosto. Se asegura que lord Castlereagh saldrá en la primera semana de Setiembre próximo para asistir al congreso de Aquisgran. Según las últimas noticias de Ceilan sir Roberto Browuright había publi cado allí una proclama, efl la cual dice que la tranquilidad se ha restablecido en varias provincia…</t>
  </si>
  <si>
    <t>…oy jr á Mons. ' Ayer pasó por aqui un extraordinario que desde Viena iba á Londres, y casi al mismo tiempo transitaron los Sres. Chaudet y Scimseer, empleados en la cancillería de lord Castlereagh, los cuales venían de Londres con pliegos de este ministro, y marchaban á Aquisgran. El teniente general barón de Tindal acaba de ser nombrado comandante de la sexta división militar, que se hallaba vacante por muerte del teniente general barón de Evers.GRAN…</t>
  </si>
  <si>
    <t>…ses han alquilado casi todas las casas de la calle de Piedra. Las dos que hay enfrente del palacio muy magníficas, y con grandes jardines, las ocuparán el duque de Wellington y él lord Castlereagh. La casa Bettendorff, que se halla en la calle Nueva, está tomada para el Príncipe de Hardenberg. Es de las mas hermosas que hay aquí, y tiene una buena galería de pinturas de los mas célebres pintores de las escuelas alemana, francesa, italiana y flamenca. F…</t>
  </si>
  <si>
    <t>…alencíenes á las tropas inglesas , hannoverianas y di namarquesas , que ascendían al numero de 40® hombres Antes de la revísta hicieron varias evoluciones, á las que asistieron el lord Castlereagh y el duque dé Kent. El duque déWelüngfon después de la revista se quedó en Valencienes, y desde allí se fue al dia siguiente á Maubeuge, en donde pasó revista á las tropas rusas , las cuales en seguida, asi como las inglesas, las hannoveria^ ñas y las dinamar…</t>
  </si>
  <si>
    <t>…. dé Borselle, gentilhombre £ru-_ siano : se dice que ambos son conductores de pliegos importantes^ También ha llegado á esta ciudad lord Chichester, empleado en el minis terio de lord Castlereagh. J í ■ . ITALIA. ■ Roma 20 de Setiembre. Se han recibido aqui noticias de la China, dé Tunkin y de las islas Fili pinas. Las primeras son coh fecha de 2 de Agosto, y las otras de lo de Di ciembre de 1817. Por ellas sabemos que la feroz persecución qué se leva…</t>
  </si>
  <si>
    <t>…incógnito, sin lúas acompañamiento que un secretario particular-; pero esto no obstante fue conocido, y en todas partes salid el pueblo á recibirle con las mayores acla maciones. lord Castlereagh trata de tomar una casa de campo enestas inmediaciones. Se ha nombrado para mantener el orden debido un tribunal supremo de. policía bajo- la dirección del principé Sam-Wittgenstein.. Idem g. En la gaceta de esta ciudad sé leen las reflexiones siguientes r. „…</t>
  </si>
  <si>
    <t>…rador de Rusia y el.Rey de Prusia. Entre los extrangeros de distinción que tuvieron la honra de comer con los Soberanos se hallaban el duque de Richelieu, el duque de Wéllington y lord Castlereagh. Idem 4. ; El ayuntamiento de esta ciudad da hoy, dia de S. Francisco de Asís, una magnífica función en obsequio de S. M. el Emperador de Austria, que con sistirá en una comida de 32 cubiertos para los Soberanos, las Princesas y los embajadores, y por la noch…</t>
  </si>
  <si>
    <t>…pudieran hacerlo unos árbitros y amigables componedores que intentasen conciliar los intereses de algunos particulares. Todos desean con ansia dar pronto fin á las conferencias; y lord Castlereagh ha manifestada .particularmente que desea estar de vuelta en Londres, ,el dia 15 ó 20 del cofr riente para presentar el tratado en la .primera sesión del parlamento. La oúevk seguridad que el conyenio del 9 de Octubre da sobre la duración de la pa? general de…</t>
  </si>
  <si>
    <t>…nte de divertir á este público con un experimento aereostático, ha salido mal con su empresa delante de un gran número de personages. El Rey de Prusia, el Príncipe de Iíardemberg, lord Castlereagh , su hermano lord Stewart, Mr. Alejandro de Humboldt, y otros sugetos de la mayor distinción habían asistido á ver el experimento ; pero la Sra. Garnerin, después de dos horas de esfuerzos inútiles, hizo cortar las cuerdas con que estaba asido al globo el bar…</t>
  </si>
  <si>
    <t>…en el congreso; finalmente, se cangearon las ratifi^caciones el 20, día de la partida del Emperador de Rusia y deL Rey dePrusia para la revista. , . . , .: Se había asegurado que lord Castlereagh iría a Cambray para asistir a la revista del egército de ocupación; pero esta noticia carece de fundamento, pues aun permanece aquí S. E. ' ■ . , , Durante la ausencia de los Soberanos de Rusia y Prusía no se decidirá co sa alguna importante en las conferenci…</t>
  </si>
  <si>
    <t>…a que el punto de la pronpga de los plazos para el pago te las contribuciones se ha resuelto en la sesión que han tenido hoy los ministros a Ja una del dia. Después de esta sesión lord Castlereagh, el duque de Wellington y el príncipe Metternicli fueron todos juntos á la casa de ayuntamiento y al taller de sir Tomas Lawrance, pintor del Príncipe Regente , que trabaja sin ce sar en ios retratos de varios personages: el del.Emperador de Austria esta</t>
  </si>
  <si>
    <t>…ar tido protestante en Irlanda ) y los católicos, de la que han resultado dos ó tres muertos y muchísimos heridos de consideración. Idem 21. : Para el 25 ó él 26 aguardamos aqui á lord Castlereagh, que pensaba di vertirse algún tiempo en Brusélas y en París; pero ha mudado de parecer de resultas de la muerte de la Reina. Claman á una voz los fabricantes sobre los perjuicios que les ocásionará el luto general. Los de Coventry han remitido ya una represe…</t>
  </si>
  <si>
    <t>1250 PRUSIA. - Aquisgran 2$ de Noviembre. Hoy ha salido de aqui lord Castlereagh para volverse á Londres. También ha marchado el conde de Nesselrode con su esposa á París, don de se detendrán un mes. El Príncipe de Hardemberg permanecerá aqui hasta el mes de Diciembre, asi como el ministro Mr. Humboldt, y su hermano Alejandro Humboldt. El…</t>
  </si>
  <si>
    <t>Castlereagh-y</t>
  </si>
  <si>
    <t>…l nugustá familia. &lt; : Ayer visitó al duque de Richelieu, y hoy ha estado* $. E. á pagarle la visita. Idem 5. Hoy á Ta una de la tarde há recibido el Rey en audiencia particular á lord Castlereagh-y á *sir Gárlos Stuardt,. embajador de; Lnglatefcra. Idem 7. Varios viageros franceses se ocupan actualmente en extender la esfera de nuestros conocimientos. EñTprimer lúgár débeniós contar al capitán Freicinet, comandante de la corbeta Uraniay que salió hace m…</t>
  </si>
  <si>
    <t>Castlereagh.Carlsbad</t>
  </si>
  <si>
    <t>…go se asegura que los Sobe ranos han acordado reunirse en Aquisgran el 27 o 28 de Setiembre. ídem 15. Esperamos en breve aqui al embajador de Inglaterra lord Stewart, her mano del lord Castlereagh.Carlsbad 17 de Agosto. El príncipe de Metternich se halla hace ya ocho dias con toda su comiti va en Koenigswadt, capital de los estados de esta ilustre familia, y lugar destinado para sepultura del príncipe padre, cuyo funeral no se sabe si se dilatará algún tiempo c…</t>
  </si>
  <si>
    <t>Castor</t>
  </si>
  <si>
    <t>…ef del Cerro , Doq Guillermo Pinilla, D, Domingo Verastigui, los subtenientes D. Josef Cea, D.* Nicolás Calderón y D. Vicente García : heridós los tenientes D. Francis co Latorre, D. Castor. Martínez y ef iubténkme DÁ Francisco Aldana: los</t>
  </si>
  <si>
    <t>Castrillon, Félix Enciso</t>
  </si>
  <si>
    <t>Félix Enciso Castrillon</t>
  </si>
  <si>
    <t>…ncipal, y se cantó con una buena orquesta, pasó formado el seminario al salón de exámenes, y reunidas allí las personas mas visibles del pueblo, leyó el catedrático de humanidades D. Félix Enciso Castrillon una composición poética alusiva á tan plausible festividad. Madrid 31 de Julio. Ayer á la madrugada salieron de Sacedon SS. MM. y A. con direc ción á esta capital, acompañados de una diputación que el ayuntamiento de dicha villa comisionó para despedir á SS.…</t>
  </si>
  <si>
    <t>Castro, Antonio</t>
  </si>
  <si>
    <t>Antonio Castro</t>
  </si>
  <si>
    <t>…al cuerpo de ingenieros., D* Manuel Pose, alférez del Real cuerpo de&lt;ii*± genieros ae la Armada, D. Angel Calderón de la! Barca, D. Manuel Domingo de Urquiza, D. Francisco García, D. Antonio Castro, D. Josef Belda, D. Jo sef Casado, y D. Luis Cifuentes, oyente. u ó Los examinadores nombrados por S. Ar R. fueron los1 Srés. D. Tgnacid Jáuregui, primer médico de CámaradeS.M.; D. «Agustín Mestre * boticario! mayor; D. Andrés Alcon, catedrático, de química d…</t>
  </si>
  <si>
    <t>…, teniendo que abrir camino casi nuevo; y he encontrado en él incendiada la iglesia por la canalla, y no hay «ni un solo vecino. Aqui hago alto hasta tener una conferencia con el capitán D. Antonio Castro, á quien ya di aviso de mi entrada á este punto, y que le espero para combinar con él, y volverme á la costa al total exterminio de los restos de rebeldes, conforme á las órdenes de V. S. ,,Dios guarde á V- S. muchos años. Campo en Coahuitlan Abril 21 de 1818…</t>
  </si>
  <si>
    <t>…ian se internó con su sección en el citado Cuy uxquihuy desde el dia 7, y porque hasta el presente no he te nido noticias de su éxito, previne ayer al comandante de la Sierra baja Don Antonio Castro que se acerque con una partida del destacamento avanzado de Palogórdo con auxilios de boca, y con el fin de protegerle en caso necesario. ,, En los demas partidos de Apan, Real de Pachuca, Tezcuco, Huasteca, Zacatlan de las Manzanas y este no ha ocurrido en l…</t>
  </si>
  <si>
    <t>Castro, Antonio de</t>
  </si>
  <si>
    <t>Antonio de Castro</t>
  </si>
  <si>
    <t>…artin Rubio,. 2.0 á D. Lorenzo de Francisco En extremos á D. Manuel de Peralta Malo. En perfiles mayores: i.° á D. Patricio Fresno, 2.0 á D. Andrés Bullido; En per files menores á D. Antonio de Castro. Em aritmética. á. D;. Blas Crespo..</t>
  </si>
  <si>
    <t>Castro, Isidro de</t>
  </si>
  <si>
    <t>Isidro de Castro</t>
  </si>
  <si>
    <t>…ndante? j oficiales' y^ dotaciones .dq los bu ques de S. M., y de otros varios que venían en ellos de .transporte , y el ca pí tandela fragata Daoiz,, primer pi joto de la armada, D. Isidro de Castro*” • - Según el parte que en 20 de Junio próximo pasadora á la suprema juntad</t>
  </si>
  <si>
    <t>…a: al de igual clase D. Josef Alvarez Ramos, grado de teniente de; fra-r gata; y al alférez de fragata, primer piloto de la armada, y capitán de la-fragata mercante titulada Daoiz D. Isidro de Castro, grado de alférez de navio. Mercurio de España. Junio de 1818. Véndese á 4 rs. en el despacho de la im prenta Real. Se suscribe en dicho despacho, y en las provincias en todas las admi nistraciones principales y agregadas de correos. En virtud de Real faculta…</t>
  </si>
  <si>
    <t>Castro, Josef</t>
  </si>
  <si>
    <t>Josef Castro</t>
  </si>
  <si>
    <t>…ón de los partes de 'Nueva-España. VALLADOLID. Oficios del coronel y comandante J). Matías Martin y Agnirre. i.° ,,Excmo. Sr.: Con fecha 13 del corriente me dice el sargento mayor D. Josef Castro desde el pueblo de Zinapécuaro haber dispuesto saliese la no che del 12 el alférez de Moneada D. Josef Casado con 25 dragones á Santa Ana Maya á sorprender una gavilla del cabecilla capitán Juan Nepomuceno Briones que hostilizaba aquel territorio, habiendo si…</t>
  </si>
  <si>
    <t>Castro, Josef de</t>
  </si>
  <si>
    <t>Josef de Castro</t>
  </si>
  <si>
    <t>…como acostumbran; y á su valor se debe el pequeño fruto de esta persecución. „Dios guarde á vmd. mucho? años. Valladolid Noviembre 9 de 1817.= Joaquín Parres. = Sr. sargento mayor D. Josef de Castro.” S. E, há premiado al distinguido D. Cipriano Casamadrid y cabo Ale jandro Vences que recomiendan los partes anteriores con el empleo de sar-¡« genios, y ademas á Vences con una gratificación de 20 pesos por una vez» Alcacer , en Valencia, 24 de Febrera. Des…</t>
  </si>
  <si>
    <t>^ ' ESPAÑA. ;■ ( r, Mixteo xy de Marzo. VALLADOLID. : Parte del comandante accidental sargento mayor D. Josef de Castro. ? » ,, Excmo. Sr.: Elevo á las superiores manos de V. E. el. parte original que el comandante militar de A cámbaro capitán D. Ramón Reguera me remite con fecha 19 del corriente, por el que se impondrá V. E. de las disposicio nes que'tomd para la persecución…</t>
  </si>
  <si>
    <t>…por la prontitud con que facilitaron sus sirvientes, armas y caballos. y, Dios guarde á vmdL muchos años. Acambaro Enero 19 de 1818. = Ramon García y Reguera.z=Sr. sargento mayor D. Josef de Castro ” • - S. E. en vísta,dé esté parte ha mandado darías gracias al capitán Regue ra, y á todos lasque concurrieron á la expedición, y ha concedido al alfé^rez debrea^nsiffntoiáe: Nueva-España D. Rafael Silva, y á los de realistas Don Ignacio Carrasco y D. Luis R…</t>
  </si>
  <si>
    <t>1 „ Las secciones que mandan el sar gento mayor D. Josef de Castro y te niente coronel D. Miguel Barragan continúan adelantando lá pacificación sin novedad, y no la ha habido en los destacamentos y guarniciones de la pro vincia. ,, Dios guarde á V. E. muchos anos. Valladolid Junio 24 de 1818. = Excmo. Sr. = Matías Martin y A…</t>
  </si>
  <si>
    <t>Castro, Lilis López de</t>
  </si>
  <si>
    <t>Lilis López de Castro</t>
  </si>
  <si>
    <t>…a del Sr. D. Josef López de l Pan , del Consejo de S. M., su al calde de Casa y Corte, dictada en 5 del corriente, y refrendada del escribano da provincia y comisiones de la misma D. Lilis López de Castro, se ha mandado sacar á pública subasta por término de 30 dias, contados desde 17 del corriente, una casa sita en esta corte, y su calle de Zurita, con vuelta á la de Buen a vista, seña lada con el núm. 19, y se halla entre los 16 y 20 de la manz. 21 , parroqu…</t>
  </si>
  <si>
    <t>Castro, Luis López de</t>
  </si>
  <si>
    <t>Luis López de Castro</t>
  </si>
  <si>
    <t>…area plana, tasada en 6640a rs. vn., lo ejecu tará en la audiencia del Sr. D. Josef López del Pan, del Consejo de S. M., su al calde de Casa y Corte, y escribanía de provincia de D. Luis López de Castro, donde se admitirán las que se hagan siendo arregladas en el término de 30 dias, con tados desde el dia 12 del corriente. Doña Rita Casteila, bautizada y casada en la ciudad de Cádiz con D. Josef Lucas, natural de Barcelona, salió de dicha ciudad de Cádiz en…</t>
  </si>
  <si>
    <t>…l Excmo. Sr. protector de dicho establecimiento. Por providencia de 29 del pasado del Sr. D. Josef López del Pan, del Consejo de S. M., su alcalde de casa y corte, y refrendada de D. Luis López de Castro, escribano de provincia y comisiones de la misma, se saca á pública subasta por tér mino de 30 dias, contados desde 30 del pasado, una casa sita en esta corte, que forma ángulo á la calle de la Puebla y de Mira el Rio, distinguida con el núm. 39, manz. 551, q…</t>
  </si>
  <si>
    <t>…no sin haberlo hecho, les parará el perjuicio que haya lugar. Por providencia dei señor alcalde de Corle D. Josef López del Pan, refrendada del escribano de provincia y comisiones D. Luis López de Castro, se mandó sacar á pública subasta por término de go dias una casa sita en esta corte, y su calle de la Puebla y Mira el Rio, núm. 39, rnanz. 551, tasada en 22295 rs*&gt; 9ue tiene de sitio 731 pies cuadrados de área plana, y dan por ella la misma cantidad de su…</t>
  </si>
  <si>
    <t>232</t>
  </si>
  <si>
    <t>…; y se señaía para el segundo remate el dia 26 del corriente á las 12 de su mañana en la audiencia del señor alcalde de corte D. Josef López del Pan, y escribanía de pro vincia de D. Luis López de Castro. La persona que quisiere hacer mejora á dichas ca sas lo egecutar&amp;ante dicho señor juez y escribanía, donde se admitirán siendo arre gladas. Por providencia del Sr. D. Josef López del Pan , del Consejo de S. M., alcalde de Casa y Corte, dada en 26 del pasado,…</t>
  </si>
  <si>
    <t>508</t>
  </si>
  <si>
    <t>…licación, lo egecuten sin “excusa alguna en el juzgado de intervención al cargo del Sr. D. Manuel Vicente de Torres Cónsul, ministro del Consejo Real, y escribanía de provincia de D. Luis López de Castro; con apercibimiento que de no hacerlo les parará el perjuicio que haya lugar, con arreglo á lo acordado en junta celebrada en 12 del corriente por los &gt;mismos acreedores, y de lo mandado en providencia de 13 del mismo. ’ ^ En la ciudad de Plasencia, en Extrem…</t>
  </si>
  <si>
    <t>620</t>
  </si>
  <si>
    <t>…del'. átf /D. ¡Josef López del Pan, del"Consejo de S, ^ su aí&lt;i calde de CasayCorte , dada en 5 del corriente, y refrendada por el escribano'de pro vincia y comisiones de la misma D. Luis López de Castro, se cita, llama y emplaza pbf-término precisóde 50 di as, contados desde esta fecha, á IX Juan Mauricio Oguena, sus hijos, herederos ó sucesores, para que por sí; ó por ¿hedió de procu rador con poder bastante, se muestren parteen el expediente formado por D.…</t>
  </si>
  <si>
    <t>…ta en esta gaceta. Por providencia del Sr. D. Josef López del Parr, alcalde deCasa y Corte, dada en 7 del.corrientey refrendada del escribano de provincia y comisiones de la misma D. Luis López de Castro se mandan sacar á pública subasta por término de 30 días, contados desde esta publioaéioh rdos casas unidaá qué tien*n comunicación, y perte-</t>
  </si>
  <si>
    <t>…xpiden estos edictos, convocatorios»* ■ —^Qr.,pxaxideaí?b-víiei,señor, alcalde de Corte D. Josef .López-del Pan-, refrendada por el escribano de provincia y comisiones de la misma D. Luis López de Castro, se ha mandado suspender la subasta de dos casás sitas en esta corte, y sus calles de Can-</t>
  </si>
  <si>
    <t>…el Sr. D. Josef López del Pan, del Consejo de S. M»* su al calde de Casa y Corte,.dictada en 8, del corriente,, y refrendada por el escribano de provincia y comisiones de la misma.D. Luis López de Castro , se cita, ¡llama y-em plaza por tercer término ' ultimó y perentorio‘de 15'dias, contados desde está piibli-f cacion, 3 D. Juan Mauricio Oquena, sus hijos, herederos ó sucesores, para qué por éí ó por medio de procurador, con'poder bastante, se muestren part…</t>
  </si>
  <si>
    <t>…cia del Sr. D. Josef López del Pan, del Consejo de S. M., ?U alcalde de Casa y/.Corte, dada en i.° del corriente, y refrendada del escribano de provincia y comisiones de. la misma D. Luis López de Castro, se cita, llama y em plaza, por término de o días contados desde esta publicación en ía gaceta, á Don Juan Al. Sivilla, su? hijos, herederos y sucesores,. para que por sí, ó por medio de procurador qón poder bastante sé“ muestren: parte en el expediente forma…</t>
  </si>
  <si>
    <t>…encia de 19 del corriente, dada por el Sr. D. Josef López del Pan, del Consejo de S. M., su alcalde.de casa y corte, refrendada del escribano de provincia y comisiones de la misma D. Luis López de Castro, se ha mandado continuar la sub asta de dos casas sitas en esta corte, y sus calles de Cantarranas y de las Huertas, que ambas tienen comunicación, y la primera se distingue con el número 7, y la se gunda sin núm , pianz. 230, que tienen de sitio 4414 pies su…</t>
  </si>
  <si>
    <t>CaStro, Luis López de</t>
  </si>
  <si>
    <t>Luis López de CaStro</t>
  </si>
  <si>
    <t>…ovidencia del Sr. D. Josef López del Pan, del Consejo de S. M., su al calde de Casa y Corte, dada'en este día , * y’refrendada del escribano de provincia y ‘comisiones de la misma D. Luis López de CaStro , sé citaS llama y emplaza^pór- tér mino de 20 días, contados desde esta publicación, á D. Juan M. Sibílla, sus hijos, herederos y sucesores, para que por sí ó por medio de procurador, con poder bas tante, se muestren parte en el espediente formado por D. Fra…</t>
  </si>
  <si>
    <t>…ud de providencia de 21 dei corriente del Sr. D. Josef López del Pan, del Consejo de S. M., alcalde de Casa y Corte, refrendada del escribano de provincia y comisiones de la misma D. Luis López de Castro, se ha señalado el dia 2 de Diciem bre próximo en la audiencia de dicho señor, á las 12 de su mañana, para el remate de dos casas sitas en esta corte, y sus calles de Cantarranas y de las Huertas, que am bas tienen comunicación, y la primera se distingue con…</t>
  </si>
  <si>
    <t>Castró, Luis López de</t>
  </si>
  <si>
    <t>Luis López de Castró</t>
  </si>
  <si>
    <t>…a de 20 del corriente, dada por el Sr. D. Josef López del Pan, del Consejo de S. M., alcalde de la Real Casa y Corte, refrendada del escribano de provincia y comisiones déla misma D. Luis López de Castró, se cita, llama y em plaza por término de'^o diás; cóntádos desde esta publicación, á Di Francisco Ro berto de Basterra ¡ soldado :qúe: fue del regimiento infantería de la Princesa ,f sus hijos y sucesores, para qué por sí Ó: por medio de' procurador, con pod…</t>
  </si>
  <si>
    <t>1240 del Pan, y refrendado, del escribano de provincia D. Luis López de Castro , se han mandado sacará, publica subasta por término de 15 dias dos casas unidas que tienen comunicación, sitas en esta corte, y sus calles de las Huertas y Cantaranas, num p, matiz. 230, que tienen de sitio 4414 pies, tasadas en 149959 rs., y se han rematado…</t>
  </si>
  <si>
    <t>…ia del Sr. D. Josef López dei Pan, del Consejo de S. M., alcalde de la Real Casa y Corte, dada en 5 deL corriente, y refrendada del escribano de provincia y comisiones de la misma D. Luis López de Castro, se cita, llama y em plaza por término primero y último de 30 dias , contados desde su publicación en Iá gaceta, á los interesados en las memorias fundadas por el limo. Sr. D. Francisco Ruiz de Vergara, para que dentro de él, y con los documentos justificativ…</t>
  </si>
  <si>
    <t>…Por providencia del Sr. alcalde de Corte D. Josef López del Pan, del Consejo de S. M , dada en 16 del corriente, y refrendada del escribano de provincia y co misiones de la misma D. Luis López de Castro, se cita, llama y emplaza por ter cero, ultimo y perentorio término de 15 dias, contados desde la publicación en la gaceta ministerial de esta corte, á D. Juan M. Sivilla, sus hijos, herederos ó suceso res , para que por sí ó por medio de procurador con poder…</t>
  </si>
  <si>
    <t>Castro, Timotea de</t>
  </si>
  <si>
    <t>Timotea de Castro</t>
  </si>
  <si>
    <t>…nes á una de las huérfanas de los militares ó patriotas que hubiesen muerto en defensa de la justa causa de la nación, ha cabido en Suerte del primer extracto de la de -este dia á Doña Timotea de Castro, hija de D. Josef, subteniente que fue del extinguido batallón de fusileros de Aragón, muerto en el campo dél honor.</t>
  </si>
  <si>
    <t>Castro, Tuis López de</t>
  </si>
  <si>
    <t>Tuis López de Castro</t>
  </si>
  <si>
    <t>…ha nombrado. ’ En virtud de providencia del Sr. E), Josef Xopéz del Pan &gt; alcalde de Casa y Cor te, del 7 del corriente, y refrendada por el escribano .eje provincia y comisiones Don Tuis López de Castro, se cita,'llámiay emplaza por término preciso de 20 días , con tados desde esta publicación , á D; Juan Mauricio Oquená," sus' hijqáyhérédéfOs ó' sucespresi para que por sí ó por medio dé procurador ,'con poder bástáñte ¿ sé mués-*" tren parte éri el expedien…</t>
  </si>
  <si>
    <t>Catali</t>
  </si>
  <si>
    <t>…e fue de Carabanchei de abajo. Se desea saber del paradero de D. Andrés, del Barrio , natural de Valdeerdible, provincia de Burgos , y pueblo de Polientes, hijo de D Bernardo y de Doña Catali na Ayala, casado con Doña Petra de Bastida, natural de Miranda de Ebro, en la misma provincia, sargento segundo que era en él año de 1B08 del regimiento infan tería de línea de León, del que pasó y se hallaba en 1809 en voluntarios de Monforte de Lemus de sar…</t>
  </si>
  <si>
    <t>Catarroja, Miguel de Santervas Miguel y</t>
  </si>
  <si>
    <t>Miguel de Santervas Miguel y Catarroja</t>
  </si>
  <si>
    <t>…ana/ avecindado en la ciudad de Nájera, de la citada provincia, sobre la pertenencia del mayorazgo fundado por el capitán D. Nicolás de Villanueva Mendoza, poseído últimamente por D. Miguel de Santervas Miguel y Catarroja, regidor que fue en lá ciudad de la Puebla de loa Angeles, en la América, cuyo expediente tuvo principio en 2 de, Mayo de 1814 , y se continúa por los trámites regulares, por virtud de pro videncia asesorada de 15 del mes de Diciembre último, dictada á solici…</t>
  </si>
  <si>
    <t>Cátlos</t>
  </si>
  <si>
    <t>…vuestro trono, manifiesta hoy por medio de esta comisión §us mas gratos afectos á V. M. por la protección.que:se digna dispensarle eft la persona de S. A. R. el Sermo. 5r¿ infante D. Cátlos ; y la universidad» Wffifintaí,á.su5.;slí)ii3s: si;1 cbmoespera y suplica, Y- M. acéptase las rnftda^</t>
  </si>
  <si>
    <t>Cavarn'iles, Josef</t>
  </si>
  <si>
    <t>Josef Cavarn'iles</t>
  </si>
  <si>
    <t>…nte del capitán D. Vicente Castaños, hijo de D. Manuel (difunto) y Doña Josefa Calleja, su viuda, nieto y heredero de D. Ramón Palacios, cuya testamentaría pende en el juzgado del Sr. D. Josef Cavarn'iles, deíjConsejo de S. M., su alcalde de casa, corte y provincia,)' escribanía de D. Miguel Josef García de la Madrid, ó á los descendientes legítimos del propio D. Julián, para que en el término de tres meses, contados desde la publicación en la gaceta y diario…</t>
  </si>
  <si>
    <t>Cavero, Vicente García</t>
  </si>
  <si>
    <t>Vicente García Cavero</t>
  </si>
  <si>
    <t>…ntienda desde el dia 27 de May o de cada áño hasta el dia 31 del mismo mes, en el que debe concluirse sin proroga alguna. í! : A consecuencia de Real facultad se ha mandado por el Sr. D. Vicente García Cavero, del Consejo de S. M., su alcaide de Casa' yCorte, sacar *á,pública subasta por término de 30 días, que principian á correr desde 6 del corriente, una casa sita en la villa de Marchena, con todas las oficinas correspondientes, molino de aceite, canal con su t…</t>
  </si>
  <si>
    <t>…14 de Mayo último para resolver al repartimiento de los caudales y efectos del con curso de D. Francisco Martínez Vallejo, dei comercio que fue de esta corle, se ha mandado por el Sr. D. Vicente García Cavero, del Consejo de S. M. , su alcalde &lt;de Casa y Corte, que en el dia 15 de Julio próximo vuelvan á juntarse en la escri banía de provincia de D. Mauricio Justo del Rincón a. las cuatro y medía de su tar de. Y para que llegue á noticia de los que no han comparec…</t>
  </si>
  <si>
    <t>Cbichester, Eduardo</t>
  </si>
  <si>
    <t>Eduardo Cbichester</t>
  </si>
  <si>
    <t>…Malzahn, mariscal de la corte de S. M. el Rey. dé Prusia; Mr. Macreschal, gentilhombre del Emperador, de Austria; el príncipe de Latour-Ííaxis 5 los coroneles.Klausewitz y Block; lord Eduardo Cbichester; el conde Belfast; la; princesa de; Latour-Taxis; el barón Alfonso de Pont, gentilhombre del Emperador de Austria; los tenientes generaíes Boyer, Muffling, Knesebeck y Thielman; el general Czernicheff, ayudante del Empera-* dor de Rusia; el general LewaschofF…</t>
  </si>
  <si>
    <t>Ce</t>
  </si>
  <si>
    <t>…los Soberanos con muestras del mayor entusiasmo. . ‘ ^ . ‘.i,...-j . españa* • . : "Valladólid g de Setiembre. El iríténderité de ¿gércitó dé Castilla la Vieja y dé ésta provincia D. Ce* sáréó de Gardoqui y Oruetá, cáballeró dé ía Real y distinguida orden espa ñola de Gárlo¡s iti &amp;c. &amp;c., ha mandado publicar el edicto siguiente: f Hago saber qué por Real órden de 19. ael pasado se ha servido S. M. man dar que el suministró decámas y utensili…</t>
  </si>
  <si>
    <t>Cea, Antonio</t>
  </si>
  <si>
    <t>Antonio Cea</t>
  </si>
  <si>
    <t>…o Gar^, cía Paredes, de fieles del Potosí, capitán graduado f&gt;. Manuel Rodríguez, y del regimiento de dragones de Moneada teniente D. Francisco Santelices, y el capellán bachiller D. Antonio Cea. Irapuato 29 de Octubre de 1817.se; Francisco de Orrantía/’ Contestación del Excmo. Sr. virey al mariscal de campo D. Pascual de Liñan. „He recibido el oficio de V. S. núm. 159 de 3 del corriente, y parte que acompaña de los pormenores con qiie le comunica el…</t>
  </si>
  <si>
    <t>Cea, Josef</t>
  </si>
  <si>
    <t>Josef Cea</t>
  </si>
  <si>
    <t>…matelos tenientes con grado de capitán D. Aór drés Rico, D.Torñas Perez Trujillo, los tenientes D. Josef del Cerro , Doq Guillermo Pinilla, D, Domingo Verastigui, los subtenientes D. Josef Cea, D.* Nicolás Calderón y D. Vicente García : heridós los tenientes D. Francis co Latorre, D. Castor. Martínez y ef iubténkme DÁ Francisco Aldana: los</t>
  </si>
  <si>
    <t>Cedestroirn</t>
  </si>
  <si>
    <t>…no ble, le respondió que sus acusaciones eran falsas, de lo cual resultó que el otro pidió satisfacción, y se desafiaron. El individuo que desmintió al otro noble és el almirante barón Cedestroirn, consejero de Estado, y actualmente gobernador mayor de esta capí- , tal, quien en la penúltima sesión dio satisfacción al estamento de la nobleza de haberse propasado en sus expresiones , declarando que en orden al indi viduo que, se había dado por ofendido…</t>
  </si>
  <si>
    <t>Cele, Angel</t>
  </si>
  <si>
    <t>Angel Cele</t>
  </si>
  <si>
    <t>…ho de la imprenta Real. . x Prefacio general sobre los?libros del antiguo Testamentó, ó introducción para la inteligencia de estos divinos libros, traducido del francés por el Lie D. Angel Cele donio Prieto; obra útilísima para la inteligencia de la sagrada Escritura: un tomo en 8.° Se hallará en la librería de Paz, frente á S. Felipe el Real¿ á 8 rs. en rustica y 1 o en pasta. Nota. En lar gaceta anterior, pág. 757, lín. 41, donde dice comisión de…</t>
  </si>
  <si>
    <t>Celis, Francisco</t>
  </si>
  <si>
    <t>Francisco Celis</t>
  </si>
  <si>
    <t>…s años. Cuartel general del Cerro del Bella* co 29 de Diciembre de 1817. s Excmo. Sr. = Pascual de Liñan. =s Excmo* Sr. virey D. Juan Ruíz de Apodaca.” Cádiz 5 de Mayo. Convencido D. Francisco Celis, dueño del café del Correo de esta ciu-* dad, de las ventajas y economía que se logran con el alumbrado del gas extraído del carbón de piedra, ha iluminado por via de ensayo, ínterin se dispone el aparato y cañerías para todo el café, una araña con ocho luces…</t>
  </si>
  <si>
    <t>Cellérüelló, María Josefa</t>
  </si>
  <si>
    <t>María Josefa Cellérüelló</t>
  </si>
  <si>
    <t>…sí mismas, que acreditan su aplicación y esmero en él corto tiempo que tie nen de enseñanza,’ distribuidos de ésta manera; ioo para la maestra y 6o,pa ra cada una de las niñas: á Doña María Josefa Cellérüelló, qué presento tres libras de hilo finó, hilado y blanqueado por su manof y ¿o pares de calcetas de hilo, tambieii hilado, torcido y blanqueado por ella, un palillo de marfil preciosamente embutido: á Doña Víctorina González Malliani, de edad de 12 años, un hu…</t>
  </si>
  <si>
    <t>Céndrera, Joséf Mafia</t>
  </si>
  <si>
    <t>Joséf Mafia Céndrera</t>
  </si>
  <si>
    <t>…ínea del cordón se halla dividida en dos mitades, y estas en tres distritos-, mandados lós de la derecha el primero por el brigadier D. Má** nuel Daban: el segundo por él teniente coronel D. Joséf Mafia Céndrera, co mandante del batallón del regimiento infantería de Valeneiá; y él tercéró por D. Valentín Quitos, que Jó es del escuadrón de caballería Volúiítariqs de España: los de la izquierda, el primero por elcófóñéi vivo D. Josef CasaS, agregado al batallón segundó…</t>
  </si>
  <si>
    <t>Cenon, Juan</t>
  </si>
  <si>
    <t>Juan Cenon</t>
  </si>
  <si>
    <t>…me aseguró existia lá reunión, han sido recorridos, pero sin encontrar én ellas un solo insurgente ; mas á mi regreso de S. Luis de Ja Paz hice que el comandante de la caballería D. Juan Cenon dispusiese 40 hom bres escogidos, que al mando de D. Juan Olguin cercasen el rancho titulado de la Sábana, y reconociesen si en él se abrigaba algún faccioso, pues tenia de ello algunos indicios. En efecto, no me salió infructuosa esta operación, pues habiend…</t>
  </si>
  <si>
    <t>Centeno</t>
  </si>
  <si>
    <t>…pen der el movimiento de Salta hasta que regresase^ lás divisiones expediciona rias: consiguiente á esta determiñacion, y habiendp'lYegacIo á Jujui el 5 del actual los cuerpos del comandante Centeno y. vanguardia con la suerte de haberse, como tengo informado á V.'E., represado las piezas de cañón, fu siles y demas electos que se perdieron en aquella sorpresa con una parte de los prisioneros, dispuse que el 12 saliese una columna móvil de 200 hom bres á…</t>
  </si>
  <si>
    <t>Cernadas, Pedro Antonio</t>
  </si>
  <si>
    <t>Pedro Antonio Cernadas</t>
  </si>
  <si>
    <t>…alladolid de Mechoacan , á D. Joaquín 4el. Barco, canónigo de la misma iglesia. Igualmente para uña plaza de oidor de la Real audiencia de Quito, qúe está vacante por promoción de D. Pedro Antonio Cernadas á regente de la de Chile, á D. Bartolomé Mosquera; y para la asesoría y auditoría del gobierno de Cartagena de Indias, que ha resultado vacante por muerte de D. Josef Murive, á D. Josef Joaquín de Agüero. , i / .■ í » , • ' ■ ¡ * ( El regente de la Real audie…</t>
  </si>
  <si>
    <t>…da á D. Pedro Míllan Rodríguez. También se ha dignado S. M. conceder á D. Bartolomé Mosquera la pla za de oidor de la Real audiencia del Cuzco, que se halla vacante por ascenso de D. Pedro Antonio Cernadas á regente de la de Santiago de Chile : á Don Antonio María Izquierdo, fiscal de lo civil de la de Quito, la plaza de oidor de la misma audiencia, declarada vacante por la imposibilidad de poder pasar ~á servirla D. Josef Rodríguez ; y la fiscalía de lo civil…</t>
  </si>
  <si>
    <t>Cerro, Josef del</t>
  </si>
  <si>
    <t>Josef del Cerro</t>
  </si>
  <si>
    <t>…muertos del regimiento de Návarra son los capitanes D. Ma nuel Mendoza, D. Pascual Amatelos tenientes con grado de capitán D. Aór drés Rico, D.Torñas Perez Trujillo, los tenientes D. Josef del Cerro , Doq Guillermo Pinilla, D, Domingo Verastigui, los subtenientes D. Josef Cea, D.* Nicolás Calderón y D. Vicente García : heridós los tenientes D. Francis co Latorre, D. Castor. Martínez y ef iubténkme DÁ Francisco Aldana: los</t>
  </si>
  <si>
    <t>Cervantes, Antonio</t>
  </si>
  <si>
    <t>Antonio Cervantes</t>
  </si>
  <si>
    <t>…su espada muerto al que atrevido le hirió. A poco fueron ya rechazados, tanto por los cazadores de mi mande, cuanto por los de la izquierda al mando del subteniente de los mismos D. Antonio Cervantes y sargento segundo Teodoro Colín. A pesar de estar ya V. 5. bastante herido se mantenía constante hasta ver el fin que habian tenido los dragones de Nueva-Galicia; pero á la sazón se presentaron el capitán Don Juan Peredo, el teniente D. Antonio Vázquez y el…</t>
  </si>
  <si>
    <t>Ceuti, Rafael Suarez y</t>
  </si>
  <si>
    <t>Rafael Suarez y Ceuti</t>
  </si>
  <si>
    <t>…tes del Real cuerpo de arti llería á los caballeros cadetes del colegio militar de Segovia D. .Antonio Ter-^ jrero y Díaz; D. Mariano Salas y Azara; D. Francisco Lavalette y Rada; D. Rafael Suarez y Ceuti; D. Josef María Nuñez y Fernandez ; D. Josef Villamil y Uriarte; D. Narciso Ár'espacochaga y Bertendona; D. Josef XJrbina y Daoiz ; D. Josef Sola y del Castillo ; D. Pedro Villar y Abello \ Don Diego Fernandez Carcelen; D. Antonio Lardin y Pinto; D. Antonio F…</t>
  </si>
  <si>
    <t>Cevallos, María de</t>
  </si>
  <si>
    <t>María de Cevallos</t>
  </si>
  <si>
    <t>…oña Manuela de Herrera Cajiga, habida en su segundo con Doña Margarita de la Caji«¿ ga; D. Roque y D. Santiago de Herrera y Cevallos, habidos en su tercero y último matrimonio con Doña María de Cevallos; de la cual, en vista de la aprobación que ¿de ella &gt;se pidió por D. Francisco Josef Fernandez Heras, marido de la Doña Ma nuela.de Herrera Cajiga, vecinos del lugar de Caucedo en el valle de Camargo, se comunicó traslado á los interesados por auto de 25 de N…</t>
  </si>
  <si>
    <t>Cha-, Josef</t>
  </si>
  <si>
    <t>Josef Cha-</t>
  </si>
  <si>
    <t>1126</t>
  </si>
  <si>
    <t>…realistas hiciese una defensa tan obstinada/ y no quisiese capitular con los bandidos, hizo asesinar vil y cobardemente á tres oficiales con sus asistentes; y queriendo seducir al capitán D. Josef Cha-* morro con grandes promesas, y mortificándole con las puntas de las lanzas/ este benemérito oficial le contesto con intrepidez, le despreció en sumo gra do, y le dijo estaba, pronto á morir por Dios y su Rey* J^’ern'AN'do vit$ estas fueron sus últimas palabra…</t>
  </si>
  <si>
    <t>Chabrol</t>
  </si>
  <si>
    <t>…les y vistas pinto rescas de la Groenlandia, retratos de varios esquimales &amp;c. El duque de Angulema, acompañado de los ministros del Interior y de la Policía general, del prefecto conde Chabrol, de varios consejeros de Es tado, y de algunos sabios distinguidos, pasó ayer al hospital de S. Luis con objeto de* ver el nuevo alumbrado por medio del gas hidrógeno*. El Príncipe examinó con lá mayor detención el aparato, y seinformo circunstanciada mente d…</t>
  </si>
  <si>
    <t>Chacón</t>
  </si>
  <si>
    <t>400</t>
  </si>
  <si>
    <t>…El egército Real ocupa todo el interior del país, é inspira gran terror á los insurgentes, los cuales no se atre ven á dejarse ver sino en los desiertos ó en la isla Margarita. El Sr. Chacón, comandante de la flotilla Real, tiene bajo su mando dos fragatas y cinco ó icis bergantines y goletas. Mr. Wood , profesor de óptica en Liverpool, ha presentado al almiran tazgo un instrumento muy ingenioso, que parece resolverá el problema de conocer la lon…</t>
  </si>
  <si>
    <t>Chacón, Cefenno</t>
  </si>
  <si>
    <t>Cefenno Chacón</t>
  </si>
  <si>
    <t>…n tero , vecinos de la ciudad de Alcaraz, que hace 20 años abandonó su casa y mari do con una partida del regimiento infantería, de la,Reina ,1 se servirá avisarlo en esta xorte á D. Cefenno Chacón, en Alcaraz al regidor D. Antonio López de Haro, y en Murcia á D. Nicolás Alcaina, también regidor de aquella ciudad. .. La riqueza de las naciones, nuevamente explicada con la doctrina de su mismo investigador. En la ciencia económica política, ésta ciencia…</t>
  </si>
  <si>
    <t>Chacón, D- Juan Máriúel</t>
  </si>
  <si>
    <t>D- Juan Máriúel Chacón</t>
  </si>
  <si>
    <t>*•; Cótf gfftdo líe -teniente coronel; capitán efe dragphes* I&gt;« Antonio Acosta; con grado de teniente coronel, ayudante de este campo D¿ Salvador de Ro jas; 'teniente D- Juan Máriúel Chacón $ ayúdame de Ídem í estos tfes áyudantes -del general en gefe dél cordón. v r ' ' * ' Con grado de. coronel D. Gines Sánchez, comandante del pírlmér .feátálldíl "del rcgíiñientó infantería de Galicia, mayoí general del ¿drdori.1 1 ' .1 1 ~ I'. ^ , Del distrit…</t>
  </si>
  <si>
    <t>Chacón, Josef María</t>
  </si>
  <si>
    <t>Josef María Chacón</t>
  </si>
  <si>
    <t>…bi zarro capitán de lanceros D. Ramón Bedoya , que en todos los peligros es el primero. „Pido á V. E. eleve á la noticia de S. M. el mérito que ha contraído el capitán de fragata D. Josef María Chacón, comandante de las fuerzas nava les, quien á pesar de hallarse enfermo ha trabajado incesantemente en auxi liar las operaciones del egército, y á su actividad y disposiciones, y á la co operación de todos sus subalternos, entre ellos el ayudante de la escuadr…</t>
  </si>
  <si>
    <t>Chacón, Juan</t>
  </si>
  <si>
    <t>Juan Chacón</t>
  </si>
  <si>
    <t>…a misa j modo de oirla; prepara ron y hacimiento de gracias para la confesión y comunión; gozos y ofrecimiento del rosario ¿cc.: sacado de la sagrada escritura y santos Padres por D. Juan Chacón, canónigo de la santa iglesia catedral de Avila, y pred cador de S. M. Se hallará en la imprenta de Dávila, calle de Barrionuevo, y en las librerías de Sojo, calle de las Carretas, y de Novillo, calle de ia Concepción Gcrónima. EN LA IMPRENTA REAL.</t>
  </si>
  <si>
    <t>Chacón, Juan Antonio</t>
  </si>
  <si>
    <t>Juan Antonio Chacón</t>
  </si>
  <si>
    <t>…con derecho á los citados bienes acudan en dicho sitio y hora; en la inteligencia . que al que no compareciese Je parará el perjuicio que haya lugar. Se desea saber el paradero de D. Juan Antonio Chacón, maestro armero, natu ral de Zaragoza , que en el año de 1811, cuando la toma de Valencia, se hallaba en la diviaion de D. Josef Obispos al tiempo de su dispersión; el sugetoque supiese de stí paradero se servirá avisarlo en esta corte á D. Josef Alonso en el…</t>
  </si>
  <si>
    <t>Chacón, Juan Manuel</t>
  </si>
  <si>
    <t>Juan Manuel Chacón</t>
  </si>
  <si>
    <t>…a Perez, comprendida en los víctimas del Dos de Mayo de * Madrid. * i......... W - T' "'rARTICULO DE OFICIO. El Rey nuestro Señor se ha dignado conceder el uso de lá flor de Lis á D. Juan Manuel Chacón, teniente de infantería, y ayudante primero del cam po de Gibraltar, en atención al amor y lealtad que ha acreditado tener á su Real Persona y á la augusta casa de los Borbones. * El Rey nuestro Señor se há servido conceder su Real permiso á D. Vi-* cente Roc…</t>
  </si>
  <si>
    <t>Chamorro, Josef</t>
  </si>
  <si>
    <t>Josef Chamorro</t>
  </si>
  <si>
    <t>Il2 7 manos si los tuviese,* hasta que respectivamente tomen estado; y pasando de uno á otro en razón de su mayor edad. 2.a ,, Que los difuntos capitanes D. Josef Chamorro y D. Francisco Ló pez Guijarro pasen igualmente revista como presentes en sus cuerpos; seles declara igualmente el derecho á la cruz laureada de la orden de S. Femando, para que puedan sus mugeres, hijos ó padres instaurar solicitud redamando la pensión vitalicia designada en…</t>
  </si>
  <si>
    <t>Chaparro, Miguel</t>
  </si>
  <si>
    <t>Miguel Chaparro</t>
  </si>
  <si>
    <t>…D. Sebastian Barrondo, D. Josef Antonio Martínez,' D. Félix Solórzano y D. Felipe Ramos, que fueron incansables en matar ene migos , como el teniente D. Benito Franco y el alférez D. Miguel Chaparro, todos los que se han hecho acreedores á que V. E. tenga la bondad de elevar su mérito al conocimiento de S. M. Dios guarde á V. E. muchos años. Paso Real del Caiman á 21 de Marzo de 1818. = Excmo. Sr.=: Rafael López. = jExcmo. Sr. general en gefe. == Es copi…</t>
  </si>
  <si>
    <t>Chauran, Josef</t>
  </si>
  <si>
    <t>Josef Chauran</t>
  </si>
  <si>
    <t>…o y Francisco Carraiedo, y el segundo Antonio Vázquez, el cabo primero Diego Mesa, y los granaderos Josef Lugo y Silvestre Pbnce t del de Clarines el capitán gra duado de teniente coronel D. Josef Chauran, el de igual clase D. Braulio Guaita, el subteniente D. Josef Castalia , el sargento segundo Vicente Galban y el cabo primero Josef Vázquez; y de las compañías de Carupano el subteniente D. Jacinto Valdivielso y el sargento primero Andrés Castillo. j»Lo que c…</t>
  </si>
  <si>
    <t>Chaves, Bernardo</t>
  </si>
  <si>
    <t>Bernardo Chaves</t>
  </si>
  <si>
    <t>…a de Molina, su muger; D. Juan Gualberto del Ribero, su hijo; una niña de cinco años, su nieta, llamada Mi-* caela; D. Mariano Riberos, alférez de milicias; D. Josef Manuel Ortiz, Don Bernardo Chaves, D. Ramón Chaves y D. Faustino Velasco. ! ■ ' Mozos sueltos. Josef María Carrillo , Josef Manuel Limpias, Josef Manuel Vaca , Josef Lorenzo Mansilla, Josef Joaquín Mercado, Bernardo Peinado, Juan Josef Guzman , Josef Joaquín Gutiérrez, María Ana, natural de C…</t>
  </si>
  <si>
    <t>Chaves, Ramón</t>
  </si>
  <si>
    <t>Ramón Chaves</t>
  </si>
  <si>
    <t>…; D. Juan Gualberto del Ribero, su hijo; una niña de cinco años, su nieta, llamada Mi-* caela; D. Mariano Riberos, alférez de milicias; D. Josef Manuel Ortiz, Don Bernardo Chaves, D. Ramón Chaves y D. Faustino Velasco. ! ■ ' Mozos sueltos. Josef María Carrillo , Josef Manuel Limpias, Josef Manuel Vaca , Josef Lorenzo Mansilla, Josef Joaquín Mercado, Bernardo Peinado, Juan Josef Guzman , Josef Joaquín Gutiérrez, María Ana, natural de Choquisaca, Jo sef Antonio Serrano , ind…</t>
  </si>
  <si>
    <t>Chavo, Antonia</t>
  </si>
  <si>
    <t>Antonia Chavo</t>
  </si>
  <si>
    <t>…tenian medida desde el vértice de sus cabezas era de 22 pul gadas y media ; la circunferencia del pecho del barón era de 12 pulgadas y media , y la de la hembra de 13. La partera Doña Antonia Chavo, que asistió á este parto, dio inmediata mente parte al comadrón D. Manuel. Lósela, que en unión con D. Francis co Flores Moreno, médico de Cámara de número de S.-M., y protomédico de esta ciudad, asistieron á la madre, y observaron cuidadosamente estos extra…</t>
  </si>
  <si>
    <t>Chichester</t>
  </si>
  <si>
    <t>…. eí Rey de Prusia, y ha salido para la Haya Mr. dé Borselle, gentilhombre £ru-_ siano : se dice que ambos son conductores de pliegos importantes^ También ha llegado á esta ciudad lord Chichester, empleado en el minis terio de lord Castlereagh. J í ■ . ITALIA. ■ Roma 20 de Setiembre. Se han recibido aqui noticias de la China, dé Tunkin y de las islas Fili pinas. Las primeras son coh fecha de 2 de Agosto, y las otras de lo de Di ciembre de 1817. Por el…</t>
  </si>
  <si>
    <t>Chirinos, Antonio</t>
  </si>
  <si>
    <t>Antonio Chirinos</t>
  </si>
  <si>
    <t>…r.: Elevo á manos de V. E. el oficio original del coronel Don Cárlos María Llórente, con el que remite el parte de las operaciones egecutadas por el capitán de milicias de Tampico D. Antonio Chirinos contra las gavillas que se hallaban á las inmediaciones de Palo Blanco y Sombrerete; siendo el resultado de estas ventajas que los enemigos, batidos por estas tro*-</t>
  </si>
  <si>
    <t>…virey D. Juan Ruiz de Apodaca.” ........... Oficio del coronel y comandante de Titxpan D, Carlos María Llórente. ,, Habiendo regresado felizmente el capitán de milicias de Tampico Don Antonio Chirinos de la expedición que le mandé practicar contra los insur gentes de las inmediaciones de Falo Blanco y Sombrerete, que eran los úni cos de estos contornos que faltaban presentarse á implorar' la Real gracia del indulto1 y entregar sus armas, según anuncié á V.…</t>
  </si>
  <si>
    <t>…arde á V. S. muchos años. Campamento en el pueblo nuevo de Tepecintía Enero 30 de 1818. =Cárlos María Llórente. = Sr. brigadier y co mandante D. Diego García Conde.” &gt; , Parte del capitán D. Antonio Chirinos. ,,Para cumplir las órdenes de V. S. relativas á sorprender y batir la re unión de rebeldes que sostenían ¿m fuerte cantón en el parage nombrado el Salto, en las inmediaciones del punto de Sombrerete, salí de este campamento la tarde del 25 del presente mes c…</t>
  </si>
  <si>
    <t>…edi ciones que refieren los partes anteriores. De la primera división de milicias de la costa del Norte. El teniente coronel graduado D. Josef Andrés de Jáuregui, capitán graduado D. Antonio Chirinos, subteniente D. Pedro Díaz "Villa, sargentos primeros distinguidos D. Felipe Ponz y D. Francisco Loide, sargento primero Juan Josef Ramos* ídem segundos Josef de Sosa y Pedro de la Parra, cabos primeros Josef Ig-r dichonació Humada, Justo Reyes y Dionisio Chi…</t>
  </si>
  <si>
    <t>Chirinos, Josef Manuel</t>
  </si>
  <si>
    <t>Josef Manuel Chirinos</t>
  </si>
  <si>
    <t>…sa 20, D. Juan Plá 5 , D. Lo renzo Treillan- 5 , D. 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Sres. Perez y Chaves 4, D. Ramón Gutiér rez 6, D. Feliciano Borges 4, D. Josef Hernández Horta 4 , D. Matías Cas…</t>
  </si>
  <si>
    <t>Churruca, Pascual</t>
  </si>
  <si>
    <t>Pascual Churruca</t>
  </si>
  <si>
    <t>…l teniente de Búrgos D. Antonio Gil, y el capitán de Navar ra D. Antonio Ladoux. El capitán de Granada D. Pió Sánchez Garcés fue contuso. „Los capitanes del regimiento de la Union D. Pascual Churruca y Don Joaquín Dalmau , y el teniente del mismo cuerpo D. Manuel Crespo, estu vieron á la cabeza de sus compañías en la última columna de ataque que se apoderó del fuerte, y todos ellos sobresalieron en arrojo y atrevimiento , dan do egempto á sus soldados. ,, El comandante de esc…</t>
  </si>
  <si>
    <t>ChvostofF</t>
  </si>
  <si>
    <t>…uskoy. Los individuos del cuerpo de la nobleza elegidos para asistir á este consejo fueron el montero mayor Mr. Narischkin, el mayor general Moller, el consejero privado y senador conde ChvostofF, el consejero de colegio barón Tscherkassoff, el mayor general AdadouroíF, el preboste de los comerciantes de Petersburgo Joukof. Los individuos del cuerpo de comer ciantes que concurrieron también á este consejo, como elegidos que hablan sido para ello, fuer…</t>
  </si>
  <si>
    <t>Cifuentes, Luis</t>
  </si>
  <si>
    <t>Luis Cifuentes</t>
  </si>
  <si>
    <t>…eal cuerpo de&lt;ii*± genieros ae la Armada, D. Angel Calderón de la! Barca, D. Manuel Domingo de Urquiza, D. Francisco García, D. Antonio Castro, D. Josef Belda, D. Jo sef Casado, y D. Luis Cifuentes, oyente. u ó Los examinadores nombrados por S. Ar R. fueron los1 Srés. D. Tgnacid Jáuregui, primer médico de CámaradeS.M.; D. «Agustín Mestre * boticario! mayor; D. Andrés Alcon, catedrático, de química del Real colegio.de Far^ macia, y D. Agustín Lar i ca ,…</t>
  </si>
  <si>
    <t>Cini</t>
  </si>
  <si>
    <t>…tió denodada mente. El batallón de Barbastro se portó con la mayor bizarría; y después de un fuego vivísimo de 5 horas la entrada de la noche suspendió la acción, é impidió que el coronel Cini pudiese observar la completa derrota del ene migo. Este dejó mas de 200 cadáveres sobre el campo de batalla, con un con siderable número de fusiles y otros efectos de guerra, y no hubiera escapado ni uno solo si Cini, aprovechándose de la victoria que había c…</t>
  </si>
  <si>
    <t>Cini, Juan</t>
  </si>
  <si>
    <t>Juan Cini</t>
  </si>
  <si>
    <t>…as armas inmediatamente. „ Noticioso entonces el gobernador de esta plaza de la entrada de los re beldes en Cariaco dispuso, de acuerdo con el coronel del regimiento de Bar bastro D. Juan Cini, marchase aüi la fuerza disponible de dicho batallón y 200 hombres del pais, en todo un total de 500 plazas, que fue mandando el expresado coronel. Marino salid de Cariaco con ánimo de sorprender y atacar esta fuerza; la encontró efectivamente sobre la casa d…</t>
  </si>
  <si>
    <t>Ciout</t>
  </si>
  <si>
    <t>…ron rá quese' enviajen tropaspara, reprimirlos^ Los amoti nados pelearon con tesjon^ bizarría; pero al .fin tuvieron que ceder á-una car ga de ios húsares y lanceros, al mando del capitán Ciout, edecán del gober nador general, que los derrotó completamente; sin embargo, habiendo logra do escaparse los gefes de los. sediciosos se han pregonado sus cabezas, ofrecien do premios al que ? los entregue vivos; ó muertos.. Por fortuna no tomaron par te en e…</t>
  </si>
  <si>
    <t>Cires, Tomas de</t>
  </si>
  <si>
    <t>Tomas de Cires</t>
  </si>
  <si>
    <t>…á fin de llamar la atención de los rebeldes por aquella parte. Dios &amp;c. Cariaco 14 de Marzo de 1818. = Francisco Ximenez. = Sr. gobernador y comandante general de estas provincias D. Tomas de Cires. = Es copia. = Cires.” Posteriormente dio cuenta el expresado comandante general de Cumaná al</t>
  </si>
  <si>
    <t>Ciríaco</t>
  </si>
  <si>
    <t>…deración de V- S. para su cono-* cimiento. ■■; - . : : ; . .■ ,, Dios guarde á V*S. muchos años. Campamento del Arenal Mayo 8 de.i8i8. = Ignacio Amor*==Sr. brigadier y comandánte. general D. Ciríaco (de Llano.” {Se continuarán*) ■■■&gt; Madrid e&lt;T de Octubre, A R: T ÍClílO DE O F I CIIO* , Relación de las cantidades que adelantaron en el año de i&amp;i5 para costear el vestuario y equipo de las compañías de granaderos y* cazadores del regi miento provincial de…</t>
  </si>
  <si>
    <t>Cisneros</t>
  </si>
  <si>
    <t>…co de un mes contado desde el dia en que se publique en la gaceta el presente aviso. Los suscriptores 4 los Principios elementales de estrategia, ó ciencia de los gecorales por el brigadier Cisneros, acudirán á la librería de Barco, carrera de S. Ge rónimo, á recoger el cuaderno 6.y adelantar el importe del 7.0 Los de fuera de la corte pueden igualmente acudir el 22 del corriente y el 4 del siguiente Febrero á recoger el 7.0 y 8.°, con que se concluye la…</t>
  </si>
  <si>
    <t>Cisneros, Alfonso</t>
  </si>
  <si>
    <t>Alfonso Cisneros</t>
  </si>
  <si>
    <t>…ontificalpor el Emo. Sr. cardenal arzobispo-de Toledo, egecutando' el Emo. Sr. éár-^ denal patriarca de las Indias las ceremonias propias de su dignidad, y el ca-^ pellan de honor D. Alfonso Cisneros predicó el sermón , cuya doctrina y elo cuencia correspondieron al- magestuosó objeto de la festividad. - Concluida la función , dispensaron SS. MMi' á todos los grandes cruces, y. áuno por clase de las diferentes de lá orden , inólUsá lá dé plata1, y a Jás!…</t>
  </si>
  <si>
    <t>Cisneros, Baltasar Hidalgo de</t>
  </si>
  <si>
    <t>Baltasar Hidalgo de Cisneros</t>
  </si>
  <si>
    <t>…Eguía.” 2.0 ,,He venido en exonerar á D. Josef Vázquez Figueroa del cargo de mi Secretario de Estado y del Despacho de Marina, y nombro para que le sirva en propiedad al teniente general D. Baltasar Hidalgo de Cisneros, espitan general en el departamento de Cádiz; y hasta su presentación en esta corte desempeñareis vos interinamente dicho ministerio. Tendreislo entendido, y dispondréis su cumplimiento , comunicándolo á quien corresponda. =-Rubr ir-? cado de la Real mano. =…</t>
  </si>
  <si>
    <t>.gran cruz de la Real distinguida orden de Cárlos pi, de ía de S.-Fernando y S. Hermenegildo; D. Baltasar Hidalgo de Cisneros, del de Marina, y pon Josef de Imáz, interino del de Hacienda ; los consejeros de Estado marques ,de las Hormazas; D. Manuel López Aran jo, caballero gr^an cruz de ja Real distinguida orden de Carlos iii ; el duque de S. Fernando, caballero gran cru^ de la mi…</t>
  </si>
  <si>
    <t>Cisneros, Juan Sánchez</t>
  </si>
  <si>
    <t>Juan Sánchez Cisneros</t>
  </si>
  <si>
    <t>…dicho término se venderán los egeraplares á ¿4 rs.'para los que no hayan suscrito. Principios elementales de estrategia, ó ciencia de los generales, por el brigadier de infantería D. Juan Sánchez Cisneros» individuo de mérito de varios cuerpos cien tíficos de Europa en la clase de ciencias físicas y naturales &amp;c.; dedicada al Excelen tísimo Sr. teniente! general conde de Guaqui* gentilhombre de cámara de S. M. con egereicio &amp;c., y presentada al Rey nuestro Señ…</t>
  </si>
  <si>
    <t>Cisneros, Vicente Ramón Fernandez de</t>
  </si>
  <si>
    <t>Vicente Ramón Fernandez de Cisneros</t>
  </si>
  <si>
    <t>…señores eclesiásticos, asi de la santa iglesia ca tedral como de las parroquias y otros vecinos é interesados, se celebraron exá menes de latinidad, habiendo presentado á ellos el catedrático D. Vicente Ramón Fernandez de Cisneros 1 7 discípulos que aspiraban á pasar á la uni versidad. Se dió principio al acto con una oración que pronunció D. Rafael’ de Rovina sobre el. origen, progresos y estado actual de la lengua latina: si guió á esto un certamen métrico, y después la versión de au…</t>
  </si>
  <si>
    <t>Ciudad-Rodrigo, Duque de</t>
  </si>
  <si>
    <t>Duque de Ciudad-Rodrigo</t>
  </si>
  <si>
    <t>…ido al tratado y convención de 2Ó de Noviembre de 1815 , á fin de evitar en la negociación toda apariencia de arbitrariedad y parcialidády SS. MM. II. y RR, convidaron al Excriio. Sr. Duque de Ciudad-Rodrigo y de Wellington, cuyo carácter y eminentes cualidades eidgeñ respeto é inspi ran confianza , á presidir esta importante negociación, y sejr ei médládor en-‘ tte S. M. Cristianísima y lás potencias interesadas. Habiéndose admitido por S. M. Cristianísiriia ést…</t>
  </si>
  <si>
    <t>Ckidad-Rodrigó, Duque de</t>
  </si>
  <si>
    <t>Duque de Ckidad-Rodrigó</t>
  </si>
  <si>
    <t>?0o duque de Richelleu, ministro de Negocios extrangeros, y la concurrencia de! Excuso. Sr. Duque de Ckidad-Rodrigó y de Weilington, un convenio defini tivo, al cual S. M. ha tenido á bien acceder, y en él se señalaron á la Espa ña 850® francos de renta, ó 17 millones de francos en capital en inscripcio nes sobre el gran libro de la deuda pública de Francia para satisfacer…</t>
  </si>
  <si>
    <t>Cla, Domingo</t>
  </si>
  <si>
    <t>Domingo Cla</t>
  </si>
  <si>
    <t>…dos hijos. - - . • ,, Se lo comunico á vmd. para su satisfacción. ,, Dios guarde á Vmd. mochos años. Tecalitlam Marzo 9 de 1818. 5= Juan Antonio Solórzano. =Sr. teniente coronel y comandante D. Domingo Cla varme.” Parte extractado del comandante IX Ignacio Martínez. „ A las 12 y medía del diaó del corriente intentó el rebelde é inicuo Gor diano Guzman sorprender esta piaza con toda la reunión de gavillas de Tierra-</t>
  </si>
  <si>
    <t>Cla, Luis</t>
  </si>
  <si>
    <t>Luis Cla</t>
  </si>
  <si>
    <t>…lusivo al objeto, que leyó el primer maestro di rector D. Cayetano Fernandez Villamil. Fueron examinados en aritmética Don Manuel Barbet, D. Ramón Peón, D. Josef Rodríguez Romero, D. Luis Cla^ vareza, D. Juan Corvera y D. Josef Echániz. En álgebra'D. Manuel Rodrí guez Almeida. En geometría ios citados Almeída y Clavareza, D. Manuel María Riberos, D. Vicente Rey, D. Ramón Casal y D. Joaquín Clavareza. En trigonometría plana el mismo Clavareza, los…</t>
  </si>
  <si>
    <t>Clairfeldz</t>
  </si>
  <si>
    <t>…Francia se ha dado orden á Mr. D’Ohson, quien se halla de ministro de Suecia en la corte de los Países-Bajos, que pase á aquella capital. fsl*general Bergenstrale va á Berlín; el coronel Clairfeldz ha pasado á Copenhague, y el general conde de Lovenhfelm debe ir á Petersburgo para hacer igual comunicación. Los Estados del reino, la guarnición y el cuerpo de oficiales han-prestado, el juramento, é igualmente han sido llamados á prestarle todos los cuerpo…</t>
  </si>
  <si>
    <t>Clancarty</t>
  </si>
  <si>
    <t>…69,062, Hesse-Homburgo 2o©,Lubeck 40,650, Francfort47,850,Brema48,500, Hamburgo 129,800. Total 30.094,050 almas. PAISES-BAJOS-Ü NIDOS. Brusélas 3 de Setiembre. Ayer llegaron aquí lord Clancarty, embajador de S. M. Británica, que ,venia de la Haya, Mr. Tarraire, teniente general en cesación, que pasa de •Ámbéres á París, y la condesa de Athotte y su comitiva que vienen de Paris. Sé asegura que el ministro de Estado na circulado una orden con Fecha ‘d…</t>
  </si>
  <si>
    <t>parte de la Rusia; dé lord Clancarty por la Inglaterra y dei barón de Hümboldt.pour la Prusia. ESPAÑA. México- 7 de Julio, Continuación de los partes de Nueva-España, PROVINCIA DE GUAINAJUATO. Parte del capitán JD, Ramón Galinsoga ai comandante general D. Anr tonto de Linares. ,, Habiendo salido…</t>
  </si>
  <si>
    <t>Clara</t>
  </si>
  <si>
    <t>…ciafico, habiendo ex cluido de la posesión del mismo fideicomiso á D. Joaquín Saavedra, en razón de ser este descendiente por la misma linea del segundo matrimonio de la re ferida Doña Clara. Creyéndose muerto al mencionado Cañas hace ya algunos años, se necesita una justificación de su muerte , como también si ha dejado ó no hijos ; pues si hubiese acaecido su fallecimiento después del 2 2 de Marzo de 1797, queda dicho fideicomiso libre de vincu…</t>
  </si>
  <si>
    <t>Clari, Juan</t>
  </si>
  <si>
    <t>Juan Clari</t>
  </si>
  <si>
    <t>…e 11 olivas y 18 piernas al parage del Corralejo, tasado en 500. Teniendo que percibir parte de una herencia los herederos é hijas de Doña Ma ría Agustina Lesaca, muger que fue de D. Juan Clari, residentes que fueron de la ciudad de Valencia del Cid, se les cita y emplaza para que en el término de cuatro meses, contados .desde 5. del corriente, acudan al cabildo eclesiástico de las parro quias unidas de la villa dé Artajona, reino de Navarra, obispa…</t>
  </si>
  <si>
    <t>Clarke</t>
  </si>
  <si>
    <t>…arís. Se asegura que lord Sidmoúth ha mandado poner en libertad á todos los presos de Estado, obligándoles solamente á dar fianzas. ■ FRANCIA. París de Enero. El buque el Séneca &gt; capitán Clarke, que llegó á Nueva-YorcR el i.# dé Noviembre, habiendo hecho escala en la isla de Sta. Elena, dice que todo íeguia en la mas perfecta tranquilidad, y que habiendo procurado el secre tario de Bonaparte entablar correspondencia secreta con*algunos habitantes de…</t>
  </si>
  <si>
    <t>Clau</t>
  </si>
  <si>
    <t>…o de 1814, estan do casada con el capitán de los Reales egércitos D. Genaro Gílabert; para que acudan á deducirlo y exponerlo en debida forma por el oficio del escribano de número D. Clau* dio Sanz, dentro del preciso y perentorio término de 30 días; con apercibimiento de que pasados sin mas citación ni emplazamiento, se accederá á la solicitud hecha por par te de Dona Paula de Frías, hija del referido D. Baltasar, dirigida á que se declare ha…</t>
  </si>
  <si>
    <t>Claudio</t>
  </si>
  <si>
    <t>…- En* virtud5 dé providencia, del Sr. D. Joaquín: Almazan, déi Consejo de S. M,,‘ primer'teniente corregidor ;de iesta muy heroica- villa., refrendada por el escribano del námero:D. Claudio '5ánzy;se cita, 1 lamai y ¿mplará atod? s-y cualesquiera: per-: so ñas que seconsidcrén con derecho é¡as&gt; bienes'qupjhaprqrie da dp por ¡ faUecjm j eñto abintestato, causado por fin y muerte.de Doña Josefa ValladaresBocherini, que fue en la menor edad, hija d…</t>
  </si>
  <si>
    <t>Clavareza, Joaquín</t>
  </si>
  <si>
    <t>Joaquín Clavareza</t>
  </si>
  <si>
    <t>…En trigonometría plana el mismo Clavareza, los citados Riberos y Rey, Don Josef Alonso y D. Josef Vicente Veiga. En trigonometría esférica los mismos Alonso, Veiga, Riberos, Rey, D. Joaquín Clavareza, D Felipe Martínez, D. Florencio Pereira, D. Francisco Pumar y D. Cosme Arias. En cosmogra fía los expresados Martínez, Pumar, Alonso, Pereira, Arias, Veiga, D. Be nito Pereira, D. Josef Pujadas, D. Josef María Loureiro y D. Fermín Galceran. En navegación los…</t>
  </si>
  <si>
    <t>Clavarino, Domingo</t>
  </si>
  <si>
    <t>Domingo Clavarino</t>
  </si>
  <si>
    <t>…muchos años. Valladolid Abril 15 de 1818.^; Excmo. Sr. -= Matías Martin y Aguirre. ~ Excmo. Sr. virey P. Juan Ruiz de Apodaca.” Idem 4 de Junio. NÜEVA-GÁLICIA. Parte del teniente coronel D. Domingo Clavarino al comandante general mariscal de campo D. Josef de la Cruz. ,,Excmo. Sr.: Con la mayor satisfacción acompaño á V. E. los dos par tes de las gloriosas defensas que hicieron los dos puntos fortificados de la lí nea de' mi mando; todo lo cual confirma el tenien…</t>
  </si>
  <si>
    <t>…todos, en fin, son muy dignos de mi recomendación por su acreditado valor. , , Dios guarde á V. muchos años. Tuxpan Marzo n de 1818. = Igna cio Martínez. = Sr. tenienteTcoronel y comandante D. Domingo Clavarino.” Madrid 18 de Noviembre. A * T I Cü L p D E OFICIO. El Rey nuestro Señor se ha servido conceder su Real permiso á D. An-</t>
  </si>
  <si>
    <t>Clemencia, Carlos</t>
  </si>
  <si>
    <t>Carlos Clemencia</t>
  </si>
  <si>
    <t>6 2 6 cipales tareas y deliberaciones de la sociedad desdeño de Mayo de 1816, en que se celebró la última junta de repartimiento de premios, y el censor Don Carlos Clemencia una exposición sobre el estado de los establecimientos que en beneficio público sostiene la sociedad. A continuación se dio principio á la distribución de premios: leyó el secretario una minuta de ellos, y de las personas en quienes habian recaído, para que l…</t>
  </si>
  <si>
    <t>Coca, Antonio</t>
  </si>
  <si>
    <t>Antonio Coca</t>
  </si>
  <si>
    <t>…o de Quinto D. Manuel Arranz reside actualmente en Zaragoza; el de Ardales D. Juan de la Monja en Casarabonela; el de Bornos D. Miguel Baldovi en este mismo pueblo; el de Caldetas D. Antonio Coca en Igualada; el de Caí das de Reyes D. Manuel Jacobo Fernandez en el misino pueblo; el de Sacedon D. Marcelino Sainz en el citado pueblo; el de Puerto-Llano D. Car los Martin del Romeral en esta corte calle de Atocha, pasadizo de la fon da , cuarto principal;…</t>
  </si>
  <si>
    <t>-en Cataluña, D. Antonio Coca, á los de la villa de Olesa, en el mismo prin cipado. ^ ' Lo adelantado de las temporadas de tomar las aguas ó baños minerales de cualquier punto de España, y varias dificultades para que puedan realizarse inmódicamente las referidas traslaciones, pero que so…</t>
  </si>
  <si>
    <t>Cochrane</t>
  </si>
  <si>
    <t>…nifiesta en Alemania sino bajo una sola forma , y que no es tan formida ble que sea necesaria la fuerza armada para reprimirle.” GRAN BRETAÑA. ’ ! Londres 24 de Marzo. Se dice que lord Cochrane trata de emprender un viage al Polo, y^de allí al estrecho de Behring en un barco de vapor. Para conseguir su objeto piensa llevar hasta Spitzberg, ó hasta el confin de la gran masa de hielos, un barco viejo cargado de carbón de piedra, y le dejará allí despu…</t>
  </si>
  <si>
    <t>…los cafés, que suelen ser los-sitios de reunión en dasóS'semejantes. La ciudad de West-* minster ó Londres occidental parece que ya á ser el teatro de una obstinada lucha. Huñt y lord Cochrane están demasiado desacreditados para que se cuente Gon ellos; pero sir Francis Burdett, hombre rico, y miembro del Parlamenta hace tantos años, y Mr. Douglas Kinnaird, conocido por lord jCinnair, son’ dós candidatos del partido popular. Los moderados -les opon…</t>
  </si>
  <si>
    <t>Cock</t>
  </si>
  <si>
    <t>…ederico y: en las dos fragatas María Eeigepsbergpn y la Wiíhelmina, y en , reunido el pavío el laa idossQpjfbet^s rJaíy: lai -ha Tromp, que mandará hasta queilegue á su destino el general Cock, nombra do últimamente gobernador de las Molucas, ¿¿so ; j ^ ^OÍí3y\I\ ■ . h-.ibb y/- BAVIERA. '“u:i ‘Uj Munich zg de Junii&gt;; \ - ' T: días •:&lt; Ehljt.eyihatsnjeltOual |pála&lt;áptB*4ÍiÍ^Ír@gerpSPe&gt;i yíí?n*rocuatro debe safif ípa^ayla Bandera; del Rhini de^;4pnde…</t>
  </si>
  <si>
    <t>Codallos, Felipe</t>
  </si>
  <si>
    <t>Felipe Codallos</t>
  </si>
  <si>
    <t>…• ■ ' / -' • ' ■. .. . . . • Continuación de los partes de Nueva-España. KÉAt BE TEMASCAÍTEt»EC. Oficio dél teniente coronel y comandante D. Miguel Torres• ,,Excmo. Sr.Al teniente coronel D. Felipe Codallos, que con las fuer zas volantes se hallaba en la hacienda de Acatempa, le previne se dirigiese al pueblo de Sta. Marta en observación de una partida que el dia antes había marchado de auxilio: á la. del indultado D. Pablo Campos, que en el mismo había sido ata…</t>
  </si>
  <si>
    <t>Colby</t>
  </si>
  <si>
    <t>…n embargo, al tiempo de la prueba le hemos visto destituido de uno y otro recurso; ¡ triste desengañe de la flaqueza humana!” Idem 4. Han vuelto de Dunkerque el coronel Mudge y el capitán Colby con los instrumentos de la oficina de artillería que se llevaron para determinar la si tuación de la importante ciudad de Dunkerque , de concierto con los señores Biot y Arago, hábiles astrónomos nombrados al mismo efecto por el Gobier no francés. El recibimi…</t>
  </si>
  <si>
    <t>Colchester</t>
  </si>
  <si>
    <t>…s gastos de su yiage. En virtud de esto el Dr. Sickler manifestó su método á la cQrnision que se nombró para este examen, y que se componía del conde dé Abérdutn , lord Grenville, lord Colchester, sir Josef Banks, -sir Tomas Tyrwhit, sir Humphry Duy, del difunto Dr. Burney y de Mr. JíamiJton, yiqe-sec reta rio de Estado de Negocios extrangeros. Esta comisión, después de varios exámenes sobre el proceder y resultados del nuevo mé todo , y de haber cons…</t>
  </si>
  <si>
    <t>Colls, Isidro</t>
  </si>
  <si>
    <t>Isidro Colls</t>
  </si>
  <si>
    <t>…talrichv Badalona , 1 oficial , 2 sargentos, 30 cabos y soldados: Masnou, 1 oficial, 2 sargentos, 30 cabos y soldados: Premia de abajo, 1 oficial, 1 sargento, 20 cabos y soldados: D. Isidro Colls, y Díaz, capitán de Hostalrích, 8.p ligero, inspector de estas partidas el te niente coronel D. Leonardo Osma, capitán agregado aL regimiento de. infan-4* tería de Córdoba, gefe de estos distritos: el brigadier barón de Biure, tenien—&gt; te de Rey de esta plaza…</t>
  </si>
  <si>
    <t>Colmenero, Josef</t>
  </si>
  <si>
    <t>Josef Colmenero</t>
  </si>
  <si>
    <t>contusos son el teniente D. Josef Gorro, y los subtenientes D. Antonio Sola* no y D. Josef Colmenero: los oficiales muertos del regimiento húsares de Fernando vn son el capitán D. Manuel Santander, el teniente D. Alfonso Huesca y el alférez D. Genaro Pañego. Fue muerto ademas el coronel co mandante de dragones de la Union D. Josef de Navas, que seguía en el…</t>
  </si>
  <si>
    <t>Coloma, Carlos</t>
  </si>
  <si>
    <t>Carlos Coloma</t>
  </si>
  <si>
    <t>…ón dirigirá su solicitud á los alcaldes y ayuntamiento de dicha villa, que se admitirá por 30 días, conta dos desde esta publicación. £os anales de Cornelio Tácito, traducidos por D. Carlos Coloma, segunda edi ción con el texto latino: cuatro tomos en 4.0 mayor. Véndense á 104 rs. en papel en el almacén de la imprenta Real, y 160 en pasta en el despacho de la misma. Memorias de agricultura y artes, que se publican de orden de la Real junta de gobierno…</t>
  </si>
  <si>
    <t>Cólomer, Josef</t>
  </si>
  <si>
    <t>Josef Cólomer</t>
  </si>
  <si>
    <t>14o la Via y D. Josef Cólomer, el abanderado D. Pedro Campománes y ios subtenientes D. Antonio Villalba y D. Rafael Villavicencio, heridos de gra vedad: el capitán D. Manuel Velazquez , los tenientes D. Juan Sorelo, Don Juan Gómez, D. Josef Segador, D. Josef Elua y D. Manuel Martin Alvare…</t>
  </si>
  <si>
    <t>Colomer, Josef</t>
  </si>
  <si>
    <t>Josef Colomer</t>
  </si>
  <si>
    <t>…ñor y D. Josef María Novoa; y para la de los demas pongo á continuación sus nombres y cuerpos á que pertenecen. ,,Del batallón de Zaragoza: capitán D. Manuel Velazquez , tenientes Don Josef Colomer y D. Pedro Salvador de Pazos, subtenientes D. Manuel San* chezTreviño y D. Justo Zaldivar. Del primero Americano: teniente coronel graduado D. Cristóbal Tenorio, capitán D. Josef Polledo, teniente D. Patri cio Ange y D. Miguel Tejeiro , subtenientes D.'Juan Perez y D. Juan Josef Reviila.…</t>
  </si>
  <si>
    <t>Colon, Diego</t>
  </si>
  <si>
    <t>Diego Colon</t>
  </si>
  <si>
    <t>…otorgado; parándole estoqr cuanto se actúe y resuelva ef mismo/perjuicio que /si'fuese, con su intervención-.;y, au-? diencia. . - . - ■ :■ , r , Rimas en honor de la España, por D. Diego Colon. En estos ensayos de poesía lírica se celebran por una serie histórica los principales sucesos de las dos últimas guerras que ha sostenido nuestra nación contra la Inglaterra y la Francia hasta el fe liz término de los trastornos políticos de la Europa con la…</t>
  </si>
  <si>
    <t>Colon, Josef</t>
  </si>
  <si>
    <t>Josef Colon</t>
  </si>
  <si>
    <t>…deseos de ver á los señores alumnos honorarios, salieron al frente los Excmos. Sres. duque de Ferhandina y marques de Alca lices , el capitán de coraceros D. Josef de Zamora y el Sr. D. Josef Colon, los cuales, después de haber contestado á varias lecciones teóricas que les hizo el director, trabajaron á caballo, manifestando S. M. á cada paso su particular inteligencia y su gusto en estos egercicios tan propios de la nobleza española. A las ocho se ret…</t>
  </si>
  <si>
    <t>Colon, Josef Joaquín</t>
  </si>
  <si>
    <t>Josef Joaquín Colon</t>
  </si>
  <si>
    <t>…aprobar en ob sequio del buen orden y conveniencia pública. Por acuerdo de la junta general del honrado concejo de la Mesta , su fecha ro de Octubre último, que presidió el limo. Sr. D. Josef Joaquín Colon , del 'Consejo y Camara de S. M. en él Real y supremo de Castilla , se mandó pu blicar por medio de la gaceta el sitio y día en que se celebren las juntas ge nerales dé primavera y otoño, que con arreglo á lo: que previenen las leyes de su cuaderno, antiguos…</t>
  </si>
  <si>
    <t>Colon, Jósef Joaquín</t>
  </si>
  <si>
    <t>Jósef Joaquín Colon</t>
  </si>
  <si>
    <t>481</t>
  </si>
  <si>
    <t>…ta, que experimentaban el ansiá con que S. M. tratáde fomentar ésta industriahonrando á los pastores, qué cóíTverdad y sencillez le aman ; y en la efusión de! sil alegría el limo. Sr. D. Jósef Joaquín Colon, presidente, le habló de esta manera: „ Señor : Si vuestro sumiso presidente del honrado concejo de lá Mestá fuese capaz de manifestar una pequeña parte de los tiérnos electos que cáusá á ia reunión de estos Utiles-ihumildes y honrados vasillo* la soberana pr…</t>
  </si>
  <si>
    <t>…e distintivo.” Lo-que traslado á V*§¿ I. de Re^l orden para inteligencia de la Mcsra. Dios guarde á V. S. I. muchos años. Palacio de May o de i8i8»=rñ juau Lozano de Torres. ssSr. D. Josef Joaquín Colon.” . :,* A RT1 CIT.L O ©B OFPCIO. ■"•'‘.'-‘■'í *■ P¿&gt;r Real resolución de 27 de Ahrilotíltimo^ ás consulta delsConsejo sai-^r premo de la Guerra, se ha servido* S. Mv concederá D.Francisco Larramo^ na, practicante segundo dé cirugíar que fue enda «dlrimaii cam…</t>
  </si>
  <si>
    <t>Comes, Rafael María</t>
  </si>
  <si>
    <t>Rafael María Comes</t>
  </si>
  <si>
    <t>…de esta Ciudad, presidida pofr el Excmo. Sr. D. Francisco Xavier de Castaños, capitán general dé esté egército y principado, celebro junta en 22 del corriente, y en ella su socib D. Rafael María Comes, individuo de la dirección de agricultura, leyó uní memoria , en la cual demostrando la utilidad de estáblécér en este principadb fondos en numerario y en granos para socorrer las Necesidades de los labra dores dimanadas de esterilidad &lt;5 infortunios particul…</t>
  </si>
  <si>
    <t>Con</t>
  </si>
  <si>
    <t>1146</t>
  </si>
  <si>
    <t>…apostólico Don Fr. Ignacio Delgado, obispo de Melipotamen: su coadjutor D. Fr. Domingo Henares, obispo de Trejeiten* Tiuíkin occidental. La mitad del reino hacia el occidente. Un obispo Con su coadjutor y dos misioneros clérigos seglares franceses del seminario de París: 70 sacerdotes del pais: unos 180® cristianos: religión cristiana toleram _ ---------- - ~ „ i ^ ^ ——*----------------------------- ------------- —-— - - _____ _. {5) Todos estos…</t>
  </si>
  <si>
    <t>Con, Diego Sánchez</t>
  </si>
  <si>
    <t>Diego Sánchez Con</t>
  </si>
  <si>
    <t>…al cerro de la Goleta , retirándose la partida por ser infructuoso seguirlos, dejando destacado en aquel punto, para que en caso de necesidad fuese protegida, nná zetaguardia, al sargento Diego Sánchez Con igual número de dragones que el anreiior, quien desempeñó esta comisiona mi entera satisfacción, tiroteando? se continuamente con Jas\gaviUas enemigas , que hacían sus correrías á larga distancia de sus trincheras. „ Serian las tres de la tarde cuando descubr…</t>
  </si>
  <si>
    <t>Concejo, Presidente del</t>
  </si>
  <si>
    <t>Presidente del Concejo</t>
  </si>
  <si>
    <t>…retaña é Irlanda para la abolición del tráficp de negrps, con cluido y firmado en Madrid en 23 de Setiembre dé 1817. Véndese en cí despacho de la imprenta Real. De orden del limo. Sr. Presidente del Concejo de la Mesta se anuncia al públicq que el mismo Concejo se halla autorizado por el supremo Consejo de Castilla para por ner de su cuenta las barcas ó lurias sobre los riosTajo y Almqnte para el paso de sqs ganados; en su virtud el Concejo de la Mesta admitirá…</t>
  </si>
  <si>
    <t>Concha</t>
  </si>
  <si>
    <t>…sa fuga* . „&gt;El 14; seguimos al parage de Sombrerete» el ¡cual hallamos ocupado, á po~T co trabajo por las tropas de la sección de. HueXjurla; y porque; estoy persua dido iqíie el Sr. Concha habrá comunicado áda superioridad de .W E. las ocurrendas que tuvieron, no me detengo en detallarlas» . j, El 15, quedando el Sr. Conchaen Sombrerete con todas sus fuerzas de operación con el;objeto de perseguir á aquellos bandidos, me dirigí yo con las mías…</t>
  </si>
  <si>
    <t>Conde, Diego García</t>
  </si>
  <si>
    <t>Diego García Conde</t>
  </si>
  <si>
    <t>…k&gt;-Blancó y Sombrerete por la parte1 del E. , ¡ ¡ : » ,,Dios guardé á V. S. muchos años. Campamento en el pueblo Nuevo dé Tépecintla Enero 30 de i8i8. = Gárlos Mana Llórente.srSr¿ brigadier Don Diego García Conde.” n: ' n / Partes delsubteniente D. Santiago Bullósjr. ■ í . ... - i.° ,,La mañana del 23 del corriente despaché al cabo segundo de la»ter cera compañía de esta - segunda división Vicenté' Silva Con rif ,tiradores para ■que penetrase en los montes del Ixtle p…</t>
  </si>
  <si>
    <t>…rde á V. E. muchos años. Lagos Enero 20 de 1818. = Excelen tísimo Sr. = Hermenegildo Revuelta. == Excmo. Sr; mariscal de campo D% Josef de la Cruz.” JALAPA. Oficio del brigadier y comandante D. Diego García Conde. ,, Excmo. Sr.: El oficio y parte original del coronel D. Carlos María Lló rente, que elevo á manos de V. E., refiere las operaciones egecutadas por las “tropas del destacamento de Tihuatlan en las lomas de Ixtle y montes del ar royo de Míquetla, lo que elevo…</t>
  </si>
  <si>
    <t>…aquel interesante punto. . ,, Dios'guarde á V. S. muchos años. Campamento en el pueblo nuevo de Tepecintla Enero 29 de 1818. =Cár los María Llórente. = Sr. brigadier y co mandante D. Diego García Conde. Lar te del capitán JD. Ledro Antonio Blasco. ,, Hace cuatro dias aseguré á V. S. no seria solo el fruto de sus medita ciones la reducción al indulto del cantón de Soltero: asi es efectivamente., Los cabecillas Guillermo Herrera y Anastasio Saucedo, de los re…</t>
  </si>
  <si>
    <t>…que estime mas arreglada. : „ Dios guarde á V. S. muchos años. Campamento en el pueblo nuevo de Tepecintía Enero 30 de 1818. =Cárlos María Llórente. = Sr. brigadier y co mandante D. Diego García Conde.” &gt; , Parte del capitán D. Antonio Chirinos. ,,Para cumplir las órdenes de V. S. relativas á sorprender y batir la re unión de rebeldes que sostenían ¿m fuerte cantón en el parage nombrado el Salto, en las inmediaciones del punto de Sombrerete, salí de este c…</t>
  </si>
  <si>
    <t>Conde, Josef Antonio</t>
  </si>
  <si>
    <t>Josef Antonio Conde</t>
  </si>
  <si>
    <t>…ista Mu ñoz. 5.0 Memoria sobre la moneda arábiga , y en especial la acuñada én España por los Príncipes musulmanes, con cinco láminas que representan varías de estas mone das, por D. Josef Antonio Conde. 6.° Memoria sobre el origen del condado de Rivagorza, y sucesión de sus condes hasta que se incorporó en la corona del Pirineo hacia el año de 1015, por D. Joaquín Traggia. 7.0 Memoria sobre las diversiones públicas que se han usado en España , por D. Gaspar…</t>
  </si>
  <si>
    <t>Conde, Lucas</t>
  </si>
  <si>
    <t>Lucas Conde</t>
  </si>
  <si>
    <t>…el año próximo pasado de 1817 desapareció en la bahía de Cádiz estando á bordo del ber gantín Hiena: el que tuviere noticia de su existencia ó fallecimiento se servirá avi sarlo á D. Lucas Conde, del comercio de Zaragoza, el que tiene que comunicarle asuntos que le interesan. La Maleta preciosa, que dejó olvidada en la casa donde estuvo alojado en esta corte Mr. Delomer, capitán de artillería del corso Buonaparte: célebre carta que en tre otros papel…</t>
  </si>
  <si>
    <t>Condé, Príncipe de</t>
  </si>
  <si>
    <t>Príncipe de Condé</t>
  </si>
  <si>
    <t>…formaban la numerosa reunión, y particularmente del digno objeto á que se dirigía el obsequio. Madrid ij de Junio. ARTICULO DE OFICIO. Con motivo del fallecimiento de S. A. S. el Sr. Príncipe de Condé ha,re suelto S. M. se vista la corte de luto por seis dias, que deberán principiar.el sábado 20 del corriente. t f \ S. M. se ha servido conceder al conde de Viilamar, capitán de las Mi licias de' caballería de Puerto- Príncipe, isla dé Cuba , y caballero de…</t>
  </si>
  <si>
    <t>Conderena, Juan Estéban Arraiz de</t>
  </si>
  <si>
    <t>Juan Estéban Arraiz de Conderena</t>
  </si>
  <si>
    <t>nes públicos de los alamnos de so escuela dé primeras letras ante efe ayunta^ miento;, el cura párroco D. Juan Estéban Arraiz de Conderena, otros pár rocos de varios pueblos , y mas de 200 personas que acudieron al acto, pre sentados los niños por D. Juan Miguel de Goñi, y su hijo D. Josef Francis^ co, prrfesores de primera educación, á cuyo cargo estaba confiada su ense ñanza. En las tres horas…</t>
  </si>
  <si>
    <t>Consalvi</t>
  </si>
  <si>
    <t>…s negociaciones con la Baviera,se trabaja con la mayor actividad en la con clusión de los concordatos con la Prusia y el reino de Hannóver. Estas nego ciaciones se tratan entre-el cardenal Consalvi, Mr. de Niebuhr, ministro de Prusia, y Mr. de Ompteda, ministro de Hannóver. Es de esperar de la’sabiduría y del amor á la justicia que anima á los augustos Soberanos, que se. pondrán de acuerdo con la cabeza de la Iglesia para proporcionar el bienrj estar de…</t>
  </si>
  <si>
    <t>…se pagaban cuando la Finlandia estaba reunida á la Suecia. Lo mismo sucederá en Sue cia con respecto á los buques finlandeses. ITALIA. .Roma ti de Febrero. El secretario de Estado cardenal Consalvi partió para Terracina (en la frontera de Ñapóles ) en la noche del 5 al 6 del corriente, después de haber comunicado su salida á los ministros extrangeros por medio de una circular. Este viage inesperado llama mucho la atención de los políticos; pues aunque a…</t>
  </si>
  <si>
    <t>…1 Gobierno mismo de Ginebra quede exceptuado de esta providencia. ITALIA. "Ñapóles &lt;T de Marzo. Las conferencias del caballero Médicis, ministro de Hacienda de esta cor te, con el cardenal Consalvi en Terracina, han tenido por objeto el arreglo de los asuntos eclesiásticos, pues ya se hacia absolutamente necesario un con venio sobre esta materia, á causa de hallarse vacantes mas de 40 obispados en el reino de Ñapóles. Se cree que ha servido de base para…</t>
  </si>
  <si>
    <t>…e al Padre Santo un Soberano de Inglaterra. Es verdad que los ministros de las dos cortes habían tenido frecuentes relaciones después del tratado de París de 1814, y que cuando el cardenal Consalvi fue á Londres tuvo la honra de ser pre sentado al Príncipe Regente en la misma audiencia en que las Cámaras del parlamento se presentaron á dar gracias por el ajuste definitivo de la paz. Esto es tanto mas notable cuanto no hace todavía 20 años que S. A. se n…</t>
  </si>
  <si>
    <t>…o con monseñor Sala, y en el dia está encar gado, en compañía de monseñor Zen, de las negociaciones con los diputados de la Suiza , y es el mismo que en 1814 y en 1815 acompañó al cardenal Consalvi en su viage á París, Londres y Víena. Aunque en el colegio de cardenales no haya en el dia mas que tres capetos vacantes, no obstante se habla de nuevos nombramientos de cardenales,' que nadie cree, cabalmente por lo mismo que se habla de ellos. Idem 1de Mayo…</t>
  </si>
  <si>
    <t>…enido audien cias del Padre Santo, y según se asegura ha quedado sin efecto la negocia ción relativa al establecimiento de un obispado en Lucerna; bien que se dice que deseando el cardenal Consalvi se verifique esto, es de creer que no se ausentarán los expresados ministros, y que volverá á entablarse negociación Sobre el particular. El obispó de Dublin ha avisado que el famoso Mr. Hay es, qué ha es parcido en los periódicos tantas calumnias contra vari…</t>
  </si>
  <si>
    <t>…to. Se sabe ya de positivo que los diputados de la Suiza, que hace algunos me ses están aqui, tuvieron dias pasados la audiencia de despedida de S. S., y que ¡ ai día siguiente el cardenal Consalvi les paso una nota, en virtud de la cual, no solo han suspendido su marcha, sino que es de esperar vuelvan á entablar : sus negociaciones, y que estas tengan un feliz resultado. Las negociaciones relativas á los concordatos con varias de las potencias de Alema…</t>
  </si>
  <si>
    <t>Consejo, Manuel Josef Rubiodel</t>
  </si>
  <si>
    <t>Manuel Josef Rubiodel Consejo</t>
  </si>
  <si>
    <t>…s, y ademas también 385 rs. y 18 mrs en moneda metálica, que todas tres partidas componen los insinuados 85264 reales irellon. Lás personas que quieran hacer mejora acudan ante el Sr. D. Manuel Josef Rubiodel Consejo deS. M. ^teniente corregidor de esta muy heroica villa, y por la escribanía del número de D. Miguel Gonzalo, donde se admitirán las que se hagan siempre que sean arregladas, previa la conformidad de dichos interesados en el acto del remate; en inteligencia qu…</t>
  </si>
  <si>
    <t>Constantino</t>
  </si>
  <si>
    <t>…istir^“esta augus ta ceremonia. POLONIA. Varsovia 2 / de Febrero. r La asamblea electoral de Praga &gt; arrabal de esta capital ¿ ha nombrado á mayoría de. 103 votos contra d eligían duque Constantino por diputado ,en la Dieta; y S. A. I., con arreglo á la constitución del reina íde Polonia!, ha renunciado ¡tenaporajmente la dignidad 'de senador que tenia; porqpe d isona do compone la primera cámara de la Dieta, y nadie puede áunmismo tiempo ser vocal déla…</t>
  </si>
  <si>
    <t>…quiridas hasta el dia confirman esta sospecha. POLONIA. Varsovta 4 de Mayo. S. M. el Emperador de Rusia acaba de hacer Príncipe polaco al general Zayonzech, nuestro virey; El gran duque Constantino ha regresado ya aquí de las fronteras del rei no, adonde había ido á acompañar á S. M. el Emperador, y se cree que asis tirá al congreso de los Soberanos que debe celebrarse á fines de Agosto. DINAMARCA. Copenhague s&gt; de Mayo. Se espera que llegue aquí á medi…</t>
  </si>
  <si>
    <t>…mitar su egemplo no faltaron jamas ni á la verdad ni á la buena fe, que es el alma del comercio. POLONIA. Yarsovia 1.® de junio. El 28 del pasado salid de aqui para Moscow el gran duque Constantino, y se cree que S. A. I. volverá dentro de dos meses. , ; El dia 20 del corriente se celebrarán en Cracovia con la mayor pompa y aparato los funerales del general Kosciusko. Mr. Zeltner, ministro que fue de la república Helvética cerca de la corte de Francia,…</t>
  </si>
  <si>
    <t>…;tiempo.de paz. Odesa -3 de Mayo de^i^i^íl* ; oj.... :. &gt; Idem J&lt;f, 1? .r;í /b u.Zol Por las noticias que hemos recibido de Mosco^y se sabe que ha llegado ya allí S. A. I. el gran duque Constantino, y que &amp; M. el Emperador de bía llegar el 10 del corriente, y estar de vuelta en Petersbureo para el 25. Asimismo sé asegura que dos ó tres dias. después deja - llegada del’ Esi perador vendrá-toda lá corte y el conde dejRuppin fel-Rey Qe;Prü5Íá):, 2con kfque…</t>
  </si>
  <si>
    <t>…TA DE MADRID DEL SÁBADO 24 DE OCTUBRE DE 1818. POLONIA. Varsovia 22 de Setiembre, Anteayer llegó aquí la Emperatriz viuda de Rusia, á quien había saKdo á recibir el dia 17 el gran duque Constantino. S. M. entró por la noche, ha llándose magníficamente iluminada toda la ciudad, asi como el puente del Vístula. Ayer recibió S. M. I. los homenages de todas las autoridades, de los generales, de los oficiales y de las señoras. Hoy da el virey un baile para ob…</t>
  </si>
  <si>
    <t>…sef Banks, sobre el modo de libertar á la Europa de la vecindad de los berberiscos, y restituir la’Civinzadoní á las costas septentrionales del Africa. Hoy ha llegado aquí el gran duque Constantino, procedente de Francfort. El' gran duque Miguel visito ayérá los Soberanos. . \ V *,r. Las conferencias ministeriales continúan ! unas veces en casa.del príncipe de Hardemberg5, y otras en casa del príncipe Metternich, En ellasi .se ocur* pan los ministros en…</t>
  </si>
  <si>
    <t>…ando el mayor sentimiento por su pronta partida, que ha sido esta noche á las ocho con dirección á Senlis. El Rey de Prusia permanecerá algunos dias en París, como también el gran duque Constantino. ESPAÑA. Toledo 30 de Octubre. La Real sociedad económica de esta ciudad con el plausible motivo de so lemnizar el dia del cumpleaños del Rey nuestro Señor, celebró exámenes pú«blicos en la sala capitular del ilustrísimo ayuntamiento de la misma, de los alumn…</t>
  </si>
  <si>
    <t>Consuegra, Bernardo García</t>
  </si>
  <si>
    <t>Bernardo García Consuegra</t>
  </si>
  <si>
    <t>…uisieren pretender presentarán sus instancias documentadas en la secretaría del ayuntamiento de dicha villa hasta el dia 12 de Di ciembre próximo. Se solicita saber el paradero de D. Bernardo García Consuegra, que desde el año 1806 no parece: es natural de Almagro; tendrá de edad como unos 24 á 30 años, y hay noticia de que le vieron en Cartagena el año de 13. Se suplica á quien sepa de su paradero ó muerte que tenga la bondad de comunicarlo á D. Alejandro Aguilar…</t>
  </si>
  <si>
    <t>Cónsul, Manuel de Torres</t>
  </si>
  <si>
    <t>Manuel de Torres Cónsul</t>
  </si>
  <si>
    <t>32</t>
  </si>
  <si>
    <t>…jDíos guarde á V. E. muchos anos. Palacio i.° de Enero de i8i8.=Martm de Garay.=Sr. Secre tario de Estado y del Despacho de Gracia y JusticiaEn virtud de Real facultad cometida al Sr. D. Manuel de Torres Cónsul , d'ei Consejo de S. M. en el supremo de Castilla , -se venden dos casas sit3s en esta corte, la una en la calle Mayor en los portales de Guadalájara, que vuelve á la plazuela de S. Miguel, núm. 28 , manz. 168, que tiene de sitio 3014 pies, y está tasada eri…</t>
  </si>
  <si>
    <t>Cónsul, Manuel Vicente de Torres</t>
  </si>
  <si>
    <t>Manuel Vicente de Torres Cónsul</t>
  </si>
  <si>
    <t>…do sus créditos,para que en el término .preciso y perentorio da 30 dias, contados desde esta publicación, lo egecuten sin “excusa alguna en el juzgado de intervención al cargo del Sr. D. Manuel Vicente de Torres Cónsul, ministro del Consejo Real, y escribanía de provincia de D. Luis López de Castro; con apercibimiento que de no hacerlo les parará el perjuicio que haya lugar, con arreglo á lo acordado en junta celebrada en 12 del corriente por los &gt;mismos acreedores, y de lo…</t>
  </si>
  <si>
    <t>Contreras, Rafael</t>
  </si>
  <si>
    <t>Rafael Contreras</t>
  </si>
  <si>
    <t>…istas. El capitán D. Fermín Qorrochótegui, de la de Tenapachi; el capitán, graduado D. Manuel Manso., de ,la: de Tántoyuca; teniente D. Ramón Quirós, de la de Tantima; subteniente D. Rafael Contreras, de la de Tuxpan; idem D. Josef Joaquín Cowley, de la de Papantia. Campamento en el pueblo nuevo de Tepecintla 30 de Enero de .1818. =r Garlos María Llórente. •" ■ ' "■■.‘I"" 1 ;• &gt; 1 ' y- . Villa de Fuentespina en Castilla la Vieja go de Agosto. i¡ El dia 29…</t>
  </si>
  <si>
    <t>Coók, Carlos Ernesto</t>
  </si>
  <si>
    <t>Carlos Ernesto Coók</t>
  </si>
  <si>
    <t>…de lá Real sociedad económica Matritense, corresponsal déla Real academia de la Historia,'y profesor de retórica en el establecimiento, de len guas extranjeras y bellas letras del Sr. D. Carlos Ernesto Coók. ', . 1 - ■ Extracto de reglas deducidas del arte poética dé Horacio, traducido en verso cas tellano por D. Juan Triarte, y aplicadas á la retórica; por el mismo Dr. D. Miguel García de la Madrid. Se venden en la librería de Martínez, frente á!S. Felipe el Re…</t>
  </si>
  <si>
    <t>Coolc</t>
  </si>
  <si>
    <t>1139</t>
  </si>
  <si>
    <t>1139 En 1776'y-77 el almirantazgo, envío á los tenientes Pickersgilí y Lañe; pero estos oficíales avanzaron poco, y no hicieron descubrimiento alguno. El capitán Coolc reconoció los mares que se hallan mas allá del estrecho de Behring entre los paralelos de 70 y 71 grados, donde le detuvieron los hielos. Los balleneros de Groenlandia llegaron en diferentes años hasta los 81 y ; pero no pudieron pasar adelante. • . ; . . . ?…</t>
  </si>
  <si>
    <t>Coronado, Francisco</t>
  </si>
  <si>
    <t>Francisco Coronado</t>
  </si>
  <si>
    <t>…ersona!; . ^ ^ -• &gt; s Guerrillas de¡ Camhtaguai D. Josef Antonio Ramírez y D. Domingo Tason confirmados, en sus empleos de capitanes:, y la nobleza personal. Escuadrón deHisnados. D. Francisco Coronado , natuial de S. Francis co de Tisnados, aprobado en el empleo de teniente, el Don personal, y as cendió á capitán de caballería. • ' Mayor doma de.I-Pato'de Palacios. D.JosefMaría Gómez * ' • Idem del de Belén. D* Josef Elias Megías, : . ^ I Idem del de S. Mi…</t>
  </si>
  <si>
    <t>Corral, Aquilino Palomino y O. Matías del</t>
  </si>
  <si>
    <t>Aquilino Palomino y O. Matías del Corral</t>
  </si>
  <si>
    <t>…Olmo y D. Bernardino González sobre ¿cuántas son las palabras de nuestra locución, y cómo se les harán co nocer á los niños con sus accidentes y propiedades? ¡ El día 11 de Marzo D. Aquilino Palomino y O. Matías del Corral sobre ¿cuál es la parte de la gramática que enseña ¿ disponer las palabras para for mar conceptos, y de cuántas maneras se verifica esta disposición? El dia 12 de Abril D, Francisco Rodríguez de Guevara y D. Vicente García y Galan sobre ¿ qué se entiende por…</t>
  </si>
  <si>
    <t>Corral, Feliciano del</t>
  </si>
  <si>
    <t>Feliciano del Corral</t>
  </si>
  <si>
    <t>…340 libras jaquesas, que hacen 364047 rs. y 2 mrs. vn. Quien quisiere hacer postura: á dichas fincas acuda ante el expresado señor; juez por la es-; cribanía del numeró que egerce D. Feliciano del Corral, que se admitirán siendo ar regladas. ; ' . , • , Por providencia del Sr. D. Josef López del Pan, del Consejo de S. M»* su al calde de Casa y Corte,.dictada en 8, del corriente,, y refrendada por el escribano de provincia y comisiones de la misma.D. Luis Lópe…</t>
  </si>
  <si>
    <t>…tulada la Boutureira, situada en el arzo bispado de Santiago, para que en el término de 30 dias, contados desde este aviso, acudan á su juzgado-y escribanía del numero que. egerce D. Feliciano del Corral, á exponer lo que crean convenirles en,el expediente promovido en el misino acerca de que se declaren por bienes libres y hereditarios los que dejó el Excmo. Sr. Don Francisco Perez de Lema, del que se ha mandado por el supremo Consejo Real dé Castilla se les…</t>
  </si>
  <si>
    <t>Corral, Ignacio del</t>
  </si>
  <si>
    <t>Ignacio del Corral</t>
  </si>
  <si>
    <t>1 8i gn’el eí Grande, ctiyo ataqué emprendió al ámanecer del día io, y sostuvie ron vigorosamente su comandante teniente coronel D. Ignacio del Corral y la valerosa guarnición; pero teniendo noticia de que bábia llegado al pueblo de Dolores, ocho leguas distante de aquel punto, la quinta sección de la divi sión de Guanajuato al mando del coronel D. Josef Antonio Andrade, mar chó al valle de Santiago con cos…</t>
  </si>
  <si>
    <t>…y asimismo recomiendo el de todos para que se sírva elevarlo al superior conocimiento del Excmo. Sr. virey; y debo también con sobrado motivo manifestar mi agradecimiento al ckado comandante D. Ignacio del Corral , que se distingue eficazmente en sentimientos apreciables por. eL mejor-servicio de S.</t>
  </si>
  <si>
    <t>Corrales, Pedro Alcántara</t>
  </si>
  <si>
    <t>Pedro Alcántara Corrales</t>
  </si>
  <si>
    <t>…or de Plaseocia; pafa esta vara á D. Miguel Calveton; para la de Menasalbas á D. Veremundo Medrano; para la; dé Orel lana de la Sierra á D. Rafael Ahsaldo ; para la de Castellar á D. Pedro Alcántara Corrales, y para la del cíesJtoblado Casa Castillo y Montes dé A lamín á 0. Gabriel Moy a dé la Torre. 4 Por resolución á consultas dél consejo de las Ordenes militares se ha ser vido el Ré y nombrar á D. Josef Antonio Oscot y Recarte para la vara de Sueca, vacante po…</t>
  </si>
  <si>
    <t>Correa</t>
  </si>
  <si>
    <t>…mo Sr. “ Sebastian de la Calzada. 5= Excmo. Sr. general engefe.” 2. ° ,, Excmo. Sr.: Artóché llegó á este punto de regreso de Nutrias la Czladora Dolores que condujo municiones al brigadier Correa. Ai subir por Apunto fue atacada fuertemente por cinco canoas rebeldes, y á inas un cre cido número que se hallaba apostado en las dos márgenes del rio. Desde el punto de Sra. Catalina rompió el fuego el enemigo, continuándolo hasta el de Apunto, en que tenia…</t>
  </si>
  <si>
    <t>…1® hombres: se les tomaron 1500 caballerías, fusiles , lanzas, equipages y cuanto tenían. Mandó esta acción eL brigadier la Torre, el que salió herido levemente en una pierna. El brigadier Correa que quedó mandando persigue de muerte á lós rebeldes fugitivos; Paez file atravesado por el vientre de un balazo, y le llevaban en una hamaca. De nuestra parte murió el coro-; nel Villar , un capitán de Castilla llamado Benito y otro oficial: Bauza el coronel…</t>
  </si>
  <si>
    <t>Correa, Rafael</t>
  </si>
  <si>
    <t>Rafael Correa</t>
  </si>
  <si>
    <t>…un mes, contado desde i.° del corriente, D. Josef Joaquín de Valdearenas, D. Josef Valero Espinosa , natural de Moneada, en el reino de Valencia, D. Antonio Carrasco, de Gén.ova, D. Rafael Correa, Joa quín Rodríguez, de Asturias, Doña Rosa Velazquez, Doña Teresa González, de Valladolidi Antonia Carreras, de Valdemoro, y D. Francisco Vigil, del reino de Francia, y sus sucesores, como legatarios de los Éxcmos. Sres. D. Francisco de Pau la y la Cerda, y…</t>
  </si>
  <si>
    <t>Correa, Ramón</t>
  </si>
  <si>
    <t>Ramón Correa</t>
  </si>
  <si>
    <t>…ue se le encargaron; debiéndose á su valor, asi como al del coronel del regí-» miento infantería de Navarra D. Luis Genaro de la Rocque, los felices resul tados de la batalla. „EL brigadier D. Ramón Correa, gefe interino del estado mayor general, se ha distinguido en tedas las acciones dadas estos dias, y ha contribuido conr su previsión, actividad y zelo á conservar el orden y serenidad con que se ha hecho esta brillante jornada. „ Igualmente estoy muy reconoc…</t>
  </si>
  <si>
    <t>Correa, Sebastian</t>
  </si>
  <si>
    <t>Sebastian Correa</t>
  </si>
  <si>
    <t>ñrme é isla de Margarita, remitidos por el teniente general D. Pablo Morillo, los cuales se irán publicando sucesivamente. parte* del comandante general de la quinta división coronel D. Sebastian Correa. 1. ° ,,Excmo. Sr.: Tengo la satisfacción de participar á V. E. como esta ma ñana á las i i de elld ha sido batido un escuadrón, de rebeldes mandado por el bárbaro Magdaleno, en la isla de Apunta,, próximo á esta plaza, por la bizarra caballería de Guayabal,…</t>
  </si>
  <si>
    <t>Corres, Miguel de</t>
  </si>
  <si>
    <t>Miguel de Corres</t>
  </si>
  <si>
    <t>…ntecen; 6.,r Josef Moreno, de Angón; 7.° Román Martínez, de Montanon , y 8.® Cesáreo López, de Alcalá de Henares: á cada uno de estos sugetos se les hizo el pago de los 1© rs. por D. Miguel de Corres, vecino de esta corte , en virtud de libra mientos de dicho general Empecinado, intervenidos por el comisario de guer ra que fue de su división D. Josef María Larriátegui, quien presentó en la</t>
  </si>
  <si>
    <t>Córsini</t>
  </si>
  <si>
    <t>…diente dé la vida del Papa; como el dé todos los prelados que obtienen los empleos de palacio. Se continúan haciendo grandes preparativos para la entrada solemne del nuevo senador príncipe Córsini, que será muy ostentosa; y ya el erudito y laborioso abaté Carralheri ha publicado una obra sobre los senadores de Roma y sus entradas públicas. { El conde de Palfi, consejero de la legación austríaca, acaba de ser nom brado ministro de su corte cerca de la d…</t>
  </si>
  <si>
    <t>Cortada, Jtlán Freiger y</t>
  </si>
  <si>
    <t>Jtlán Freiger y Cortada</t>
  </si>
  <si>
    <t>844</t>
  </si>
  <si>
    <t>…S. M. » y te?* menté de corregidor de esta muy heroica villa, refrendada por su escribano del nume ro D. Jacinto Gaona y Loéches, fecha 5 del corriente, se cita, llama y emplaza á Don Jtlán Freiger y Cortada, ultimo tenedor del vale Real de 150 pesos de la creación dü i.° de Enero de 1808 ¿ señalado con el numero 287917, para que en el termino preciso y perentorio de ’ 20 dias, contados desdé la publicación en este periódico^ acuda por sí, ó por medio de apoderad…</t>
  </si>
  <si>
    <t>Cortés, Antonio</t>
  </si>
  <si>
    <t>Antonio Cortés</t>
  </si>
  <si>
    <t>…sus -dignos oficiales, en medio de estas malezas, y moradas «propias de ías fieras, como lo vio V. S., que tan oportunamente mandó una partida al cargo del infatigable y valiente capitán D. Antonio Cortés, y que V. S. ¿ncontró reunido á mi división v ciertamente no hubiera yo sacado; el fruto qué V.. S..ha¡ Visto;,- ¿i, lg;partl4a?.^P^dlcionaria del 1 citado. Capitán ¡Pó Josef .An tonio deíCálll jo no me hubiera auxiliado, por lo que,siendo det&gt;agradode V. S.…</t>
  </si>
  <si>
    <t>…rrio, canónigo de aquella iglesia: la canongía magistral de la catedral de Valladolid de Mechonean á D. Antonio Camacho : una ra ción de esta misma iglesia, vacante por ascenso de D. Antonio Cortés y dar te, al medio racionero D. Juan Bautista Eguren; esta resulta á D. Ramón Pa zos, y otra inedia ración, vacante en la propia iglesia por renuncia de D. Ma tías Josef de Feria, á D. Bérnardiño Pini y Ledos: la ración que ha quedado vacante en la catedral d…</t>
  </si>
  <si>
    <t>Cortés, Pedro</t>
  </si>
  <si>
    <t>Pedro Cortés</t>
  </si>
  <si>
    <t>…stellana y urbanidad bajo dos auspicios del limo, cabildo de la misma. El concurso de toda clase de personas lúe numerosísimo y distinguido, habiéndole dado mayor realce el Excmo. Sr. D. Pedro Cortés, gobernador dé esta plaza, que quiso autorizar con su presencia unos actos tan propios de sü ' zeío y tan conformes á los deseos de nuestro amado Soberano. En la mañana del 19 se presentaron los discípulos de la clase de retórica dirigidos por su maestro el P…</t>
  </si>
  <si>
    <t>Cortés, Teodoro Salvador</t>
  </si>
  <si>
    <t>Teodoro Salvador Cortés</t>
  </si>
  <si>
    <t>…ión? El dia 12 de Abril D, Francisco Rodríguez de Guevara y D. Vicente García y Galan sobre ¿ qué se entiende por prosodia, y cuál debe ser su uso en castellano? El dia 31 de Mayo D. Teodoro Salvador Cortés y D. Juan Manuel del Val le $nbre &lt; cuántas son las letras de nuestro alfabeto; cuál su uso, y si se podrán reducir á menor número? El dia 29 de Junio D. Josef Hermenegildo de Zafra y D. Manuel Bailes^ teros sobre ¿ qué relaciones tiene la urbanidad con la educacioú moral, y…</t>
  </si>
  <si>
    <t>Cortina, Vicente</t>
  </si>
  <si>
    <t>Vicente Cortina</t>
  </si>
  <si>
    <t>…a villa del Ferrol se rende una buena botica, bien acreditada y provista de todos los efectos y utensilios de elaboración, la que quedó por muerte del antiguo profesor de farmacia D. Vicente Cortina, que falleció el mes pasado. El que quiera comprarla ó bien .regentarla, siendo profesor de? Farmacia , concurrirá, á dicha villa á reconocerla y.á tratar, con* D«oña Rarpona Cortina, y en su ausencia : con. D. .Julián Vicente Ribero. ,ií!;v ó /&gt; i;; ¡ a &gt; •.…</t>
  </si>
  <si>
    <t>Corvera, Juan</t>
  </si>
  <si>
    <t>Juan Corvera</t>
  </si>
  <si>
    <t>…leyó el primer maestro di rector D. Cayetano Fernandez Villamil. Fueron examinados en aritmética Don Manuel Barbet, D. Ramón Peón, D. Josef Rodríguez Romero, D. Luis Cla^ vareza, D. Juan Corvera y D. Josef Echániz. En álgebra'D. Manuel Rodrí guez Almeida. En geometría ios citados Almeída y Clavareza, D. Manuel María Riberos, D. Vicente Rey, D. Ramón Casal y D. Joaquín Clavareza. En trigonometría plana el mismo Clavareza, los citados Riberos y Rey, Don Josef Alonso y D.…</t>
  </si>
  <si>
    <t>Cosme, Antónió</t>
  </si>
  <si>
    <t>Antónió Cosme</t>
  </si>
  <si>
    <t>…mas en breve les hicé ver qué, ápesar ae creerse inexpugnables, para las tropas del Rey no hay obstáculo alguno; En el momento dispuse que él teniente del batallón de Sto. Domingo D. Antónió Cosme, con él subte niente graduado D. Pedro Jaso, marchase con 20 cazadores y granaderos, y: atacase por el frente, y yo ton'el resto dé infantería y caballería desmonta da , con el teniente coronel graduado D. Juan Antonio de la Cueva , y el ca pitán de dragones…</t>
  </si>
  <si>
    <t>Costa, Antonio Sandalio y</t>
  </si>
  <si>
    <t>Antonio Sandalio y Costa</t>
  </si>
  <si>
    <t>…as , y sucesivamente el g.°, á la librería de Sojo, calle de las Carretas, en la cual se vende también la cartilla ele mental de agricultura acomodada á nuestro suelo y clima, por D. Antonio Sandalio y Costa, catedrático del Real jardín Botánico, á 10 rs. en rústica,y 12 en pasta» Poesías de Luis de Camoens, príncipe de los poetas de -España , que tradujo en verso castellano D. Lamberto Gil, penitenciario del Real oratorio del Caballero de Gracia de esta corte: t…</t>
  </si>
  <si>
    <t>Costas, Antonio Sandalio y</t>
  </si>
  <si>
    <t>Antonio Sandalio y Costas</t>
  </si>
  <si>
    <t>…labrador, el cual está ya impreso y se publicará inmediatamente. En la misma librería se vende también la cartilla elemental de agricultura, acomodada á nuestro suelo y clima por D. Antonio Sandalio y Costas, catedrático del Real jardín Botánico, á 10 rs. en rustica y 1 2 en pasta. Los comentarios de Cayo Julio Césajr, traducidos al castellano por D. Manuel de Valbuena, individuo de las Reales academias española y latina matritense: segun-^ da impr«siun nuevament…</t>
  </si>
  <si>
    <t>Cotariella, Juan Cosme</t>
  </si>
  <si>
    <t>Juan Cosme Cotariella</t>
  </si>
  <si>
    <t>…tra, vecino de Serantes, á D. Jóscf Alvarez de Murías, á,D. Francisco Suarez de Grullos, á Tomas García de Baiña, á Vicente Suarez de Bello, á D. Ignacio García Tuñon de Salas j á D. Juan Cosme Cotariella, cura de Narzaná, y á D; -Francisco Valdés de Entralgo, porque todos acreditaron haber fabricado muchas mas brazas de pared de pie dra de las que se exigían. educación publica. Cuatrocientos reales á Pedro Fernandez y Josef Ramón Díaz, de esta ciudad, que con…</t>
  </si>
  <si>
    <t>Coton</t>
  </si>
  <si>
    <t>…A. . .. i Londres 30 de Jidio. ¡ Ayer perdonó el Príncipe Regente á un joven llamado Evison, que había sido condenado á muerte por falsificación de una letra de cambio. Cuándo el ministro Coton hizo saber al reo tan feliz noticia, se arrodilló ¡este para dar gracias al cielo por haberle conservado la vida. Parece que no fue Evison quien falsificó la letra de cambio, y que solo hizo uso de ella, por cuya considera ción sin duda le ha hecho gracia de…</t>
  </si>
  <si>
    <t>Cotta</t>
  </si>
  <si>
    <t>…tá ahora mismo dando un curso de mineralogía, á cuyas lecciones concurren muchos nacionales y extrangeros. Al mismo tiempo la academia de arbolados, que está bajo la dirección del caballero Cotta, y que se halla dotada por el Rey con una munificencia propia de quien conoce que sin el fomento y perfección de las ciencias y de las artes es un delirio esperar que pueda prosperar ninguna nación, cuenta en el dia un número considerable de discípulos del pa…</t>
  </si>
  <si>
    <t>Courten, Josef Elias de</t>
  </si>
  <si>
    <t>Josef Elias de Courten</t>
  </si>
  <si>
    <t>…,-¡30 cabos y soldados: Santa Susana, un* sargento, 12 cabos y soldados: Malgrat, 1 oficial, 1 sargento, 18 cabos yi soldados: Blanes, 1 oficial, 1 sargento, 20 cabos y soldados: D. Josef Elias de Courten, capitán de cazadores de Barbastro, inspector de estas partidas* D.. Elias López de Quintana, segundo comandante del batallón de cazadores de Barbastro, gefe de estos distritos. Llore!, 1 oficial, 1 sargento, 20 cabos" y soldados: Tosa, 1 oficial, r sargento,…</t>
  </si>
  <si>
    <t>Cowley, Josef</t>
  </si>
  <si>
    <t>Josef Cowley</t>
  </si>
  <si>
    <t>…V. S. debenesper&amp;r manifestando su enmienda. , iv i r. ^ . /; i: ( : :•&lt; „Recomiendo á V. S. el servicio que en este suceso HíDegecutado ei sub* ¿teniente de realistas de Papantla D. Josef Cowley en: el desempeño de varias comisiones que le he encargado , y entre ellas la arriesgada de salir con una partida de tropa á cuatro leguas de este punto á explorar la&gt;verdadera Mtensción de los indultados , para que obrase segurí las circunstancias del momento…</t>
  </si>
  <si>
    <t>…la superioridad del Excmo. Sr. virey, al capitán de milicias de Tuxpan D. Pedro Blasco, comandante militar de Nautla, al subteniente de fieles realistas de la compañía de Papantla D. Josef Cowley, y al sar gento primero de la sexta compañía de esta división D. Francisco Ruibal, por la eficacia que han tomado en cumplir mis órdenes, de que ha dependido en.gran, parte la totaFpacificacion del rumbo de Nautla, y la seguridad de aquel interesante punto. .…</t>
  </si>
  <si>
    <t>fílente dé realistas dé Pápántlá D. Josef Cowley, tai ayudante, qué Id á satisfacción, y con aquel zelo que riene acreditado pót la jiista Causa: adé^ mas hoy rtiisinó debe presentárseme aquí otra partida contó de personas, que también ie han ácógido á la Real,gracia, todos de la Mesa : ótrá támbká espero d…</t>
  </si>
  <si>
    <t>Cowley, Josef Joaquín</t>
  </si>
  <si>
    <t>Josef Joaquín Cowley</t>
  </si>
  <si>
    <t>…de la de Tenapachi; el capitán, graduado D. Manuel Manso., de ,la: de Tántoyuca; teniente D. Ramón Quirós, de la de Tantima; subteniente D. Rafael Contreras, de la de Tuxpan; idem D. Josef Joaquín Cowley, de la de Papantia. Campamento en el pueblo nuevo de Tepecintla 30 de Enero de .1818. =r Garlos María Llórente. •" ■ ' "■■.‘I"" 1 ;• &gt; 1 ' y- . Villa de Fuentespina en Castilla la Vieja go de Agosto. i¡ El dia 29 de Junio del presente año, después dé oida la…</t>
  </si>
  <si>
    <t>Cozar, Gines de</t>
  </si>
  <si>
    <t>Gines de Cozar</t>
  </si>
  <si>
    <t>…ediante á que consta en di chos autos que la citada renta cobraron en el año de 1802 diferentes personas, co mo son: la Sra. Doña Francisca de Ayala y Cárdenas, viuda del teniente coronel D. Gines de Cozar; Doña María Ayala y Cárdenas, muger de D. Bernardo Ribera, vecinos de la ciudad de Palma; D. Manuel Felipe de Ayala; Doña María Tomasa de Ayala y Aviles, y su marido D. Francisco Camargo; Doña María de la Paz Suxbet y Ayala, viuda de D. Josef Trevani; D« Jose…</t>
  </si>
  <si>
    <t>Crarneñn, Elisa</t>
  </si>
  <si>
    <t>Elisa Crarneñn</t>
  </si>
  <si>
    <t>Gaceta de Madrid n.º 56</t>
  </si>
  <si>
    <t>468</t>
  </si>
  <si>
    <t>…r a las ciencias ó al comercio: se ventila la posibilidad de volar los hombres; últimamente se trata muy en particular,del pa racaídas, y de las circunstancias que acompañan al de Doña Elisa Crarneñn, á su globo, y á la subida y descenso que va á emprender con ellos en el Real sitio del Buen Retiro á presencia de S$. MM. Se hallará en la librería de Castillo , frente á las gradas de S. Felipe; en la de Barco, calle de la Cruz; en su puesto de libros, ca l…</t>
  </si>
  <si>
    <t>Crayenhoff</t>
  </si>
  <si>
    <t>926</t>
  </si>
  <si>
    <t>…iende otra por las orillas del’Mosa, 'cubriendo este rijo desde Dinant hasta Maestricht. Esta segunda línea es*, la qué; acaba íde examinar el duque de Wéllington, acom pañado del general Crayenhoff ». habiendo estado .sucesivamente en¿ Liéja, en</t>
  </si>
  <si>
    <t>Crespo, Luis</t>
  </si>
  <si>
    <t>Luis Crespo</t>
  </si>
  <si>
    <t>1174 Idem 4 de Junio, Parte del comandante general D. Josef de la Cruz. Excmo. Sr.: Paso á manos cíe V\ E. para su debido superior conocí-* miento el parte original del capitán D. Luis Crespo, comandante interino del pueblo de la Piedad, pertenéciente á la provincia deVail&amp;dolid; y no puedo menos, en honor de la justicia, de apoyar la recomendación que hace dicho comandante del teniente Avalos, del capitán Suarez y del realista D. Juan Quilez para…</t>
  </si>
  <si>
    <t>Crespo, Manuel</t>
  </si>
  <si>
    <t>Manuel Crespo</t>
  </si>
  <si>
    <t>…adoux. El capitán de Granada D. Pió Sánchez Garcés fue contuso. „Los capitanes del regimiento de la Union D. Pascual Churruca y Don Joaquín Dalmau , y el teniente del mismo cuerpo D. Manuel Crespo, estu vieron á la cabeza de sus compañías en la última columna de ataque que se apoderó del fuerte, y todos ellos sobresalieron en arrojo y atrevimiento , dan do egempto á sus soldados. ,, El comandante de escuadrón D. Josef Navas y el capiran D. Joaquín Soni…</t>
  </si>
  <si>
    <t>Crespo, Mariano Josef González</t>
  </si>
  <si>
    <t>Mariano Josef González Crespo</t>
  </si>
  <si>
    <t>alumnos bachilleres D. Félix de Federico, D. Casimiro Herrezuelo, D. Ma riano 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t>
  </si>
  <si>
    <t>Creu, María Teresa</t>
  </si>
  <si>
    <t>María Teresa Creu</t>
  </si>
  <si>
    <t>…legítima de D. Patricio Padilla, sargento primero que era del regimiento de infantería i.°de Badajoz, en el dia con igual empleo graduado.de subteniente del de Guada la jara, y de Doña María Teresa Creu. La persona que supiere su paradero sé servirá avisarlo en Madrid, á D. Miguel de Ayala, sargento primero distinguido del mencionado regimiento, que se halla de escribiente en la inspección general dé infantería. Las señas de la niña son: ojos pardos, pelo ru…</t>
  </si>
  <si>
    <t>Criado, Vicente Ortiz</t>
  </si>
  <si>
    <t>Vicente Ortiz Criado</t>
  </si>
  <si>
    <t>…culo 8.° del dicho capítulo 2.0, se avisa que el médico director de los baños de Graena D. Francisco García Malo reside actualmente en la ciudad de Guadix, el de los del Marmolejo D. Vicente Ortiz Criado en el mismo Mármbléjo , en Alhama el médico director de los de esta ciudad D. Diego Rodenas, y en la villa de Grábalos él médico de los de Fitero D. Angel Sanz y Muñoz-----Durante las expre sadas temporadas de baños los médicos directores residirán en ellos,…</t>
  </si>
  <si>
    <t>Crillon, Félix Benton de</t>
  </si>
  <si>
    <t>Félix Benton de Crillon</t>
  </si>
  <si>
    <t>5</t>
  </si>
  <si>
    <t>…sla de Borbon. Parts 14 de Diciembre. El 8 del corriente se publicó y registró en el tribunal supremo dé esta capital el diploma de S. M., en que se confiere el título de duque al conde Félix Benton de Crillon , par de Francia, en consideración á los servicios hechos por su familia desde el siglo 15 , principalmente por el valiente Cri llon, que fue el amigo y compañero de armas de Henrique iv. Mr. Gaii, conservador de los manuscritos griegos y latinos de la biblio…</t>
  </si>
  <si>
    <t>Cristó</t>
  </si>
  <si>
    <t>…cade:e!D. Josef Zamora. De Nueva-Vizcaya: capitán D. Josef María Móreno y\alféreces' D. Justo Escudero y D. Lazaré Ariñendariz. Dragones de Sieffagorda: teniente coronel graduado D. Cristó bal Viilaseñbrcapitanea graduados D. josef García Mirin y D. Nicolaos</t>
  </si>
  <si>
    <t>Cristóbal</t>
  </si>
  <si>
    <t>…el R. P, prior y comunidad del .Real motxas^eriip de S. Geróni mo de esta corte, y de los patronos de las memo rías que en lá iglesia parroquial de S. Nicolás de la misma fundaron D. Cristóbal y E).'Juan dé Fferróte'y Acuña , do* de los acreedores cié dicho concurso, he mandado que-con citación de los interesa dos y acreedores comprendidos en ia sentencia de graduación , que recayó en 10 de! Enero del año pasado dé" 178g, se saque á pública1 Subasta pq…</t>
  </si>
  <si>
    <t>…eíáscoyJóítef María Avila, Germán Jardon y Josef María Rosales: son 53. Caballería. D. Josef María Rosas, titulado .capitán ; D. Josef María Velazquez, id.; D* Teadosio Rubí, id.; D. Cristóbal:Escalante^i id;;rp. Josfef Mamr Mén dez , id. teniente; Andrés Bernal, sargento; .Josef iMaríaVNava y/íd. /Anto^ nio Iturbe, id.; Marcelo; Camacho,vid. ;i Josef: Esquive!^ JóséfMarít .González, rdv; Vicente: Medina; cabo ; Cirilo Guésta, id¡ ^Fraudiscé Sala-*…</t>
  </si>
  <si>
    <t>…eino de México, ó el de su muger Doña Ignacia de Serón y Zapata, ó el de sus hijos y descendientes legítimos, se servirá comuni carlo á Doña Rosalía López de Cárdenas, hermana del D. Cristóbal, residente en la ciudad de Montoro, obispado de Córdoba, en Andalucía, pues hallándose de muy avanzada edad desea hacerles entrega de la cuantiosa herencia que les pertene ce, en el caso de existir, y evitar que pase á otra línea de las llamadas por defecto d…</t>
  </si>
  <si>
    <t>Cruces, Juan Josef</t>
  </si>
  <si>
    <t>Juan Josef Cruces</t>
  </si>
  <si>
    <t>…ermano del anterior, fue confirmado ¡en I el empleo de capitán de caballería* sede dio lia. nobleza personal, da ¡medalla; de* oro,: y. ascendió al grado de te-* h i ente coronel. D. Juan Josef Cruces* natural del Pao, se le concedió la no bleza personal, la medalla de oro, y el grado de teniente coronel. D. Julián Nieves , natural de S. Francisco deíisnados, fue confirmado en su empleo de capitán, obtuvo la nobleza personal, y ascendió ai grado de tenient…</t>
  </si>
  <si>
    <t>Cruz, Josef de Ja</t>
  </si>
  <si>
    <t>Josef de Ja Cruz</t>
  </si>
  <si>
    <t>„ Dios guarde á V. E. muchos años. Tepic Mayo 9 de 1817. = Excmo* Sr. =: Joaquín Mondragon. = Excmo. Sr. mariscal de campo D. Josef de Ja Cruz," Madrid /p de Enero. En la extracción de la primitiva lotería Real, egecutada el dia 19 del pre sente , han salido por el mismo orden con que aqui se ahotan los cinco nú meros siguientes: 25,7, 1,63 y 86. El premio de 2500 rs. vn., concedido en todas las ext…</t>
  </si>
  <si>
    <t>Cruz, O. Josef de Santa</t>
  </si>
  <si>
    <t>O. Josef de Santa Cruz</t>
  </si>
  <si>
    <t>…de entrambas. Para solemnizar este acto el Excmo. Sr. goberna dor de esta plaza D. Carlos España, teniente general de los Reales egércitos, acompañado del director de esta obra el brigadier O. Josef de Santa Cruz, y los individuos de la comisión nombrada para entender en Ja egecucion de ella, se trasladó al coll de Lilla, en donde el baile y ayuntamiento de Valls presentaron al expresado gobernador una espuerta y azadón para que diese principio á la apertura del camin…</t>
  </si>
  <si>
    <t>Cu, Pedro</t>
  </si>
  <si>
    <t>Pedro Cu</t>
  </si>
  <si>
    <t>…el Rey nuestro Señor el donativo de 2800 TS. vn. que ha ofrecido el ayudante de fundición de las Reales fábricas de Artillería de marina de la Cavada en beneficio del Real erario D. Pedro Cu bría por sus sueldos devengados antes del presente año; se ha servido man dar que se le den las gracias en su Real nombre, y que este rasgo de gene rosidad á favor del Estado se publique en la gaceta. , Por Real resolución dada á la consulta personal que el C…</t>
  </si>
  <si>
    <t>Cuellar, María Josefa de</t>
  </si>
  <si>
    <t>María Josefa de Cuellar</t>
  </si>
  <si>
    <t>…e no han comparecido á las anteriores jun tas se indican sus nombres y apellidos , que son: O. Josef Muñoz de Pando D Fe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 previniéndoles que de no acu dir les parará el perj…</t>
  </si>
  <si>
    <t>Cuenca, Alfonso Fernandez</t>
  </si>
  <si>
    <t>Alfonso Fernandez Cuenca</t>
  </si>
  <si>
    <t>…r de otro del mismo valor y creación, señalado con el número 25610, á D. Manuel Maatre y S. Román , que lo es de otro del propio valor y crea ción, señalado con el número 33929, á D. Alfonso Fernandez Cuenca, que lo es de dos de á 300 pesos cada uno de la creación de Enero de 1808, señalados con los números 116669 y 125824, para que en el término de 30 días, contados desde esta publicación., acudan por la escribanía de número de D. Antonio López Sala zar í decir.…</t>
  </si>
  <si>
    <t>Cuenca, Asustin de</t>
  </si>
  <si>
    <t>Asustin de Cuenca</t>
  </si>
  <si>
    <t>…a, clase: D. Miguel Gutiérrez y Parada, uno de los que quedaron aprobados para pasar al estudio de faculta des mayores; en la segunda D. Josef Olmedilla y Garrido, y en la tercera D. Asustin de Cuenca. El público manifestó la mas grata complacencia al ver los adelantamientos y compostura de los discípulos, dando las debidas gracias á su catedrático. Madrid iG de "Noviembre. En el sorteo de la Real lotería moderna celebrado el dia 14 del corriente Salieron…</t>
  </si>
  <si>
    <t>Cuesta, Eusebio</t>
  </si>
  <si>
    <t>Eusebio Cuesta</t>
  </si>
  <si>
    <t>…sacará publica sub asta, por término de 30 dias contados desde 31 de Agosto , seis casas y un solar sito todo en la ciudad de Segovia: la una á la parroquia de S. Martin, y habita Don Eusebio Cuesta, que tiene de sitio 4200 pies, tasada á metálico, rebajados reparos, en 26524 rs. Otra en la calle de Reoyo, parroquia de S. Miguel , que habita AJanuel Bares, menor, y sirve de tahona, que ocupa 8363 pies, tasada en 21360 rs. Otra</t>
  </si>
  <si>
    <t>…las 12 de su mañana, en una de las salas, del tribunal, para el remate de seis casas y un solar, sito todo en la ciudad de Seg®via: la una á la parroquia de S. Martin, que habita D. Eusebio Cuesta, tasada en 26524 rs. Otra en la calle de Reoyo, parroquia de S. Miguel, que sirve de tahona, y habita Manuel Bares, tasada en 21360 rs. Otra casa contigua á la anterior, que iiabita Manuel' Salcedo, tasada en 4122 rs. Otra medianera á la anterior, y habita Ra…</t>
  </si>
  <si>
    <t>…orte D. Ramón Satué, se ha mandado publicar por 15 días mas la subasta dé seis casas y un solar, sito todo en la ciudad de Segovia: la una á la parroquia de S. Mar tin, que habita D. Eusebio Cuesta , tasada en 26524 rs.: otra en la calle de Reoyo, que sirve de rabona, en 21360: otra contigua á la anterior, y habita Manuel Salcedo, en .412 2 : otra medianería á la antecedente* qüe habita Ramón Gómez, en 7546: otra á la plazuela del Cano Seco, que habita…</t>
  </si>
  <si>
    <t>Cuesta, Francisco Primo y</t>
  </si>
  <si>
    <t>Francisco Primo y Cuesta</t>
  </si>
  <si>
    <t>…de 200, hom bres y 5. de ios desembarcados era el ataque de aquel pueblo , que dejaron los malvados después de haberlo saqueado, como también la iglesia, lleván dose prisionero al cura D. Francisco Primo y Cuesta. „La mayor parte de [atropa que existía alli se ha ido reuniendo en Querétarp con, $,ii¿ oficiales , y; el traidor tyina...,ip,arcíiQ contra .la villa de S. Mi-</t>
  </si>
  <si>
    <t>Cuesta, Manuel de</t>
  </si>
  <si>
    <t>Manuel de Cuesta</t>
  </si>
  <si>
    <t>…ña Eugenia de Mornza por costura y buena conducta; á Doña Francisca de Leonar y Doña Juanh Greña por doctrina cristiana ,-leer y escribir ; á Tadea María de Viguri por doctrina; á D. Manuel de Cuesta, que salió en suerte eoñ otros condiscí^</t>
  </si>
  <si>
    <t>Cuét, Domingo</t>
  </si>
  <si>
    <t>Domingo Cuét</t>
  </si>
  <si>
    <t>…. M. y su fiscal militar en el supremo de Almirantazgo, brigadier de la Real armada, caballero en Ja. Real ^ militar'orden de. S.. Hermenegildo &amp;c. Efdia 2.9 de: Setiembre;de j&amp;i&amp; D. Domingo Cuét y D. Manuel García</t>
  </si>
  <si>
    <t>Cueto, Juan Lorenzo Sánchez</t>
  </si>
  <si>
    <t>Juan Lorenzo Sánchez Cueto</t>
  </si>
  <si>
    <t>…mplaza por término de 15 dias, que por segundo se les concede desde el de su anuncio en la gaceta y diario de esta corte, á D. Manuel Saenz del Prado, D. Lorenzo Fernande^de León, D. Juan Lorenzo Sánchez Cueto, D. Luis Franco, Doña Librada Perez Escovar, D. Joa quín Antonio Román, los Sres. Alzueta y Beratarrechea, D. Rafael Rodríguez, D. Juan de Dios Elias, los Sres. Bohe, hermanos y compañía, D. Mariano de Urbieta, D. Josef Uhicon, D. Ignacio Suarez, D. Francisco…</t>
  </si>
  <si>
    <t>…ita, llama y emplaza por término de 8 días, que por tercero y último se les concede, contados desde su publicación, á D. Ma nuel Sánchez del Prado, D. Lorenzo Fernandez de León ,- D. Juan Lorenzo Sánchez Cueto, D. Luis Franco, Doña Librada Perez Escovar, D. Joaquín Antonio Ro mán, los Sres. Alzueta y Beratarrechea, D. Rafael Rodríguez, D. Juan de Dios Elias, los Sres. Bohe, hermanos y compañía, D. Mariano de Urbíeta, D. Josef Uhicon, D. Ignacio Suarez, D. Francisco…</t>
  </si>
  <si>
    <t>Cuilti</t>
  </si>
  <si>
    <t>…ar á este punto, adonde me retiré con los heridos por dis tar menos de Alahuixtlan que Zacoalpan: he entregado el mandó de la sec ción y distrito que estaba á mi cargo al teniente coronel Cuilti, é impuesto de esta determinación á los comandantes subalternos. V. E. resolverá lo que sea de su superior agrado. „Dios guarde á V. E. muchos años. Teloloapan 19 de Octubre de 1817.= Manuel Gómez, ss Excmo. Sr. virey D. Juan Ruiz de Apodaca.” Parte del tenie…</t>
  </si>
  <si>
    <t>Cuilti, Mateo</t>
  </si>
  <si>
    <t>Mateo Cuilti</t>
  </si>
  <si>
    <t>…na espesa descarga de fusilería, y me sentí.atra vesado de una.bala: mi desfallecimiento era. sumo, y antes de perder el co nocimiento, que lo tenia, entregué el mando al teniente coronel D. Mateo Cuilti, previniéndole que sin dilación atacara el cementerio y reducto á todo trance. ,,Esto se verifico en ei corto espacio que el cirujano empleó en poner el primer aparato á mi herida. •„ ,,Se tomó.un canon y otras varias cosas, de todo lo cual .se impondrá V. E.…</t>
  </si>
  <si>
    <t>Cuilti, Vicente</t>
  </si>
  <si>
    <t>Vicente Cuilti</t>
  </si>
  <si>
    <t>…ontusos el ayudantede esta sección alférez graduado D. Ignacio Angel Elosua, el teniente coroneL capitán de realistas de Teloloapan D. Tomas Díaz, el cadete de dragones de&gt; España D. Vicente Cuilti, y el sargento del mismo cuerpo Antonio Perez. ,, Faltaría, Excmo. Sr., al cumplimiento'de mi deber si no elevase! ai su perior conocimiento de V. E. el mérito que han adquirido estas valientes tro-•. pas, que á egemplo de su benemérito y‘esforzado comandante…</t>
  </si>
  <si>
    <t>Cuilty, Mateo</t>
  </si>
  <si>
    <t>Mateo Cuilty</t>
  </si>
  <si>
    <t>…,, Dios guarde á V. E. muchos anos. Toluca Abril 25 de iSi8.= Excmo. Sr. = Nicolás Gutiérrez. = Excmo. Sr. virey D. Juan Ruiz de Apodaca.” ZACUALPAN. Oficio del teniente coronel y comandante D. Mateo Cuilty. ,, Excmo. Sr.: En lá demarcación de mi mando no ocurre novedad digna de la alta consideración de V. E. „Dios guarde á V. E. muchos años. Zacualpan Abril 23 de i8i8.==Excmo. Sr. = Mateo Cuilty. = Excmo. Sr. virey D. Juan Ruiz de Apodaca.” , TULA. . Oficio del…</t>
  </si>
  <si>
    <t>Culebras, Miguel</t>
  </si>
  <si>
    <t>Miguel Culebras</t>
  </si>
  <si>
    <t>…. Segunda sección: bata llón ligero voluntarios de Navarra: el teniente D. Josef María Fierto y el ca dete D. Juan Paule, muertos: el capitán D. Fernando Puertas y el subte niente D. Miguel Culebras, heridos de gravedad; y el ayudante segundo Don Josef Ures herido. Regimiento Provincial de Toluca: el capitán graduado D. Mariano Molina muerto; y en la división auxiliar de Nueva-Galicia ha sido herido el ayudante del comandante general de ella. Asimismo ha…</t>
  </si>
  <si>
    <t>Cxuizarnotegui, Francisco de</t>
  </si>
  <si>
    <t>Francisco de Cxuizarnotegui</t>
  </si>
  <si>
    <t>…E. muchos anos. Valladolid Junio 24 de 1818. = Excmo. Sr. = Matías Martin y Aguirre.= Excmo. Sr. virey D. Juan Ruiz de ■Apodaca.’* , i ■ QUERETARQ. Oficia del coronel y comandante general D. Francisco de Cxuizarnotegui. ,, Excmo. Sr.: No ha ocurrido noyedad alguna en la comandancia general de mkqargo en la présente semana; lo que elevo á V. E. en debido cumpli miento á su superior orden de 21 de M^rzo último relativa á este particular. „ Dios guarde á V.. E, muchos años. Qu…</t>
  </si>
  <si>
    <t>Czartoriski, Adam</t>
  </si>
  <si>
    <t>Adam Czartoriski</t>
  </si>
  <si>
    <t>…un tos mas interesantes que se tratarán en ella será, según se asegura, la for mación de un código civil, pues aun nos gobernamos en el día por el código ir anees. &lt; El desaño del príncipe Adam Czartoriski con el .general Paz se verificó con pistola el dia 11 del corriente. El príncipe quedó ligeramente herido, y ha merecido de S. M. el Emperador que le haya hecho una visita. DINAMARCA. Copenhague 2$ de Marzo. El barón Nicolai., ministro plenipotenciario de Rus…</t>
  </si>
  <si>
    <t>Czernicheff</t>
  </si>
  <si>
    <t>…el conde Belfast; la; princesa de; Latour-Taxis; el barón Alfonso de Pont, gentilhombre del Emperador de Austria; los tenientes generaíes Boyer, Muffling, Knesebeck y Thielman; el general Czernicheff, ayudante del Empera-* dor de Rusia; el general LewaschofF, ayudante del mismo Soberano; Mn Byland, general al servicio de los Países-Bajos; Mr. de Rayneval, consejero de Estado , director de la cancillería del departamento de los Negocios extrangeros de Fran…</t>
  </si>
  <si>
    <t>D, Juana Marichalar de Veraton y</t>
  </si>
  <si>
    <t>Juana Marichalar de Veraton y D</t>
  </si>
  <si>
    <t>…atención á varias personas , á fin .de que si lo tenían á bien asistiesen á un acto tan recomendable, se escogieron de entre ellas para juz gar de las labores de manos á las Sras. Doña Juana Marichalar de Veraton y D oña Mariana Joven de Linares; y de doctrina cristiana y leer á D. Dio nisio Crespo, canónigo de esta santa iglesia, y vicario general, D. Benito Ortega Romanillos, dignidad de tesorero de la misma, D. Baltasar Salas*,,: también canónigo, y á los tres curas pá…</t>
  </si>
  <si>
    <t>D, Príncipe</t>
  </si>
  <si>
    <t>Príncipe D</t>
  </si>
  <si>
    <t>…de tuvie ran la hoofa de felicitarle. En seguida pasó dicho ministro de España con loS empleados en la.legación alahabitación de S. M. la Reina, que con su au gusto hijo el Sermo. Sr. Príncipe D.. Pedro estaba viendo desfilar la tropa ; habiendo besado la mano se retirafóri. - i; í En Ja noche hubo ¡lutmq&amp;ciqu general , y, eíftpueblo, asi durante ella co mo en todo el día, manifestó eí mayor entusiasma , y dió. un público testi monio del amo# qué prof…</t>
  </si>
  <si>
    <t>D-Franeisco, Infante</t>
  </si>
  <si>
    <t>Infante D-Franeisco</t>
  </si>
  <si>
    <t>…trangeroa en estas escaramuzas.” • •. . , . . 10 de Julio. [\ ' . . .. ' ,Madrid En la madrigada de ¡esté día salieron SS; MM¿ para la villa; i de Sacedon, acompañados de i Sermo. Sr. Infante D-Franeisco dePaula., ^ •..í; ■ o - .■ i. ¡;.; . ’ ¡ &gt; -v- J&lt;JA &gt; . .i'¡i •.'&gt; f 1. • '!r a:r ’i La Real sociedad económica de. esta capital celebro el . día |2$ del mes próximo: pasado exámenes públicos de taquigrafía ó arte de escribir con la misma-velocidadj?ón que se…</t>
  </si>
  <si>
    <t>Da-, Alejo</t>
  </si>
  <si>
    <t>Alejo Da-</t>
  </si>
  <si>
    <t>…D. Manuel Pinuer; y el subteniente D. Josef Ugarte. ,,Ultimamente concluyo con demostrar el mayor -sentimiento por la muerte del esforzado subteniente de infantería de Concepción D. Alejo Da-* rae y Vilches, joven de una disposición , conducta y valor extraordinario, habiendo concedido á D. Juan Darac y Vilches, su hermano, eo el mis mo campo de batalla el grado de subteniente del mismo batallón , debido jus tamente al esforzado valor que en clase…</t>
  </si>
  <si>
    <t>Daisemberger, Tomas</t>
  </si>
  <si>
    <t>Tomas Daisemberger</t>
  </si>
  <si>
    <t>…audiencia. Por providencia del Sr. D. Hermenegildo Rodríguez de Ribera, oidor de lá Real audiencia de Sevilla, y juez civil de la plaza de Cádiz, en los autos de testa mentaría de D. Tomas Daisemberger ¿ vecino y del Comercio que fue de aquella ciudad, y en orden á la pretensión de D. Ambrosio Alvarez Pardiñas sobre que se . declare la;pjelaciün dé su crédito á todos los demas , se cita y emplaza por medio dé éste^ periódico i IbS 'ácíreedore^ ausentes, par…</t>
  </si>
  <si>
    <t>Dalmau, Félix Sagau y</t>
  </si>
  <si>
    <t>Félix Sagau y Dalmau</t>
  </si>
  <si>
    <t>…las de plata con ios retratos de SS. MM., y al reverso las armas de la sociedad y de la academia, cuyos troqueles tuvo la generosidad de abrir gratuitamente su académico de mérito D. Félix Sagau y Dalmau, gra bador general de los reinos, director de la Real academia de S. Fernando, y del Real departamento del grabado y construcción de instrumentos y máqui nas para la moneda. Los asuntos que se designaron para los premios fueron: para los de pintura modelar y…</t>
  </si>
  <si>
    <t>Dalmau, Joaquín</t>
  </si>
  <si>
    <t>Joaquín Dalmau</t>
  </si>
  <si>
    <t>…iendo digno de mención el co ronel del regimiento de la Union D. Juan Francisco Mendivil, que con su cuerpo se portó con mucho ánimo en esta ocasión, asi como el capitán del mismo D. Joaquín Dalmau. El capitán de lanceros D. Ramón de Bedoya, ayudante de campo del brigadier Canterac, se apoderó con la compañía de cazadores de Burgos dos veces de una casa aspillerada que defendieron los rebeldes, habiéndoles en ella matado mucha gente. Fue herido en la ro…</t>
  </si>
  <si>
    <t>Dalstroem</t>
  </si>
  <si>
    <t>…es no harán inas que retardar las operaciones. ALEMANIA. 4, Hamburgo 12 de Diciembre. En nuestra gaceta se ha publicado la carta siguiente con fecha de 28 de Octubre de Túnez. „El capitán Dalstroem, del buque sueco el Frieten, fue asaltado y ro bado cerca deTCabo de Finisterre por dos corsarios que llevaban pabellón turco, y se decían tunecinos. A consecuencia de queja dada al Bey de Tú-? nez sobre este acontecimiento, mandó hacer las mayores averiguaci…</t>
  </si>
  <si>
    <t>Dándolo</t>
  </si>
  <si>
    <t>…e su cultivo en zanjas; del cultivo del olivo, y medios de extinguir en ellos el hollín; de las ventajas del trigo tunecino; de la cria del gusano de seda, extractando la obra del conde Dándolo, y sóbrelas utilidades de la esparce-; ta para prados artificiales. En orden á química sobre el modo de hacer y conservar el vino; de renovar las viñas,y del influjo que sobre ellas tiene la atmósfera. En me-r canica, descripción de una maquina para segar las…</t>
  </si>
  <si>
    <t>Daoiz, Josef XJrbina y</t>
  </si>
  <si>
    <t>Josef XJrbina y Daoiz</t>
  </si>
  <si>
    <t>…ano Salas y Azara; D. Francisco Lavalette y Rada; D. Rafael Suarez y Ceuti; D. Josef María Nuñez y Fernandez ; D. Josef Villamil y Uriarte; D. Narciso Ár'espacochaga y Bertendona; D. Josef XJrbina y Daoiz ; D. Josef Sola y del Castillo ; D. Pedro Villar y Abello \ Don Diego Fernandez Carcelen; D. Antonio Lardin y Pinto; D. Antonio Fer* nandez Carcelen; D. Francisco Osorio y Bernal; D. Manuel Marín y Ra mos; D. Juan López y Martínez, y D. Mariano dé la Vega y R…</t>
  </si>
  <si>
    <t>Dávalos, Pedro</t>
  </si>
  <si>
    <t>Pedro Dávalos</t>
  </si>
  <si>
    <t>…Guerrero en el rancho de los Huajes, ansioso yo de darles alcancé antes de que llegase^1 á él, reuní Ja caballería, y me puse con toda' diligencia en camino, ordenando al teniente coronel D. Pedro Dávalos siguiese con la infantería á mi rétagufir- .. dja; mas habiendo caminado hasta la una del dia, y descubierto en una al-,; tura ünas avanzada de rebeldes; que observó* pii movimiento, y se pusb fuga,'</t>
  </si>
  <si>
    <t>…ranzas, cuidadoso al misipo tiempo del paradero de las subdivisiones de derecha é izquierda, de que nada supe en este dia, reuniéndome solo con la infantería del teniente coro nel D. Pedro Dávalos, quien trajo varios prisioneros,, entre ellos un armero con doble buena herramienta, y á Francisco Martínez, tesorero que fue deí finado cabecilla Morelos, ,,El dia siguiente hice otro pequeño movimiento en retroceso, quesería de dos leguas: campé é hice sali…</t>
  </si>
  <si>
    <t>Davan, Manuel</t>
  </si>
  <si>
    <t>Manuel Davan</t>
  </si>
  <si>
    <t>…de Algeciras, desde aquel rio hasta el Gualniesí, será del cargo del brigadier D. híanuel Mirallas; y el de Tarifa, comprendido entre Gualmesí y Barbate, estará á las órdenes del brigadier D. Manuel Davan. 4.0 El segundo sé distribuirá en tres cantones, á saber: el de Gonil, que abrazará desde-Barbate á Santh-Petri, y lo mandará el brigadier D. Jo$ef Ozaeta: el de Puertos-Real, que se extenderá desde Santi-Petri hasta la einbocadurade la barra del Puerto de Sa…</t>
  </si>
  <si>
    <t>Davies</t>
  </si>
  <si>
    <t>…ay escrito por el cual le condenó el tribu nal de apelación de Paris á ser encarcelado y pagar una multa. GRAN BRETAÑA. Londres 13 de Abril. Se han hecho varios interrogatorios al teniente Davies que intentó asesinar á lord Palmerston, y por ellos se ve qué el agresor estaba demente , lo cual parece que podrá justificarse. El almirante Douglas antes de salir de la Jamaica, de donde llegó ante ayer, recibió visita de un sugeto de aquella isla que tiene…</t>
  </si>
  <si>
    <t>Davila, Sancho</t>
  </si>
  <si>
    <t>Sancho Davila</t>
  </si>
  <si>
    <t>…yor, zzzTercero: Hernán Cortes, Garcilaso de la Vega, D. Alonso de Ercilla, D. Pedro Calderón de la Barca, Miguel de Cervantes Saavedra, y D. Josef Patino: 4.a D. Antonio Agustín, D. Sancho Davila, D Juan de Austria, D. Alvaro de Bazan , Antonio de Nebrija, y Pedro Me»nendez de Aviles: 5.0 D. Juan de Austria, Fr. Luis de Granada, Martin de Azpilcueta, Pedro Chacón, D. Bernardino de Rebolledo, y D. Luis de Góngora. con tinuará. ) En el juzgado de la sub…</t>
  </si>
  <si>
    <t>Daza, Alonso</t>
  </si>
  <si>
    <t>Alonso Daza</t>
  </si>
  <si>
    <t>…de infantería Espa ñola: la de la plaza de Rosas al teniente coronel D. Juan Valdés Inclan, que servia igual empleo en la de Seu de Urgel; y la ayudantía del castillo de Monzon á D. Alonso Daza, subteniente del regimiento de infantería de Ceuta. Igualmente se ha servido S. M. conceder en América el gobierno y co mandancia general de la provincia de Maracaibo,en las de Venezuela, al co ronel D. Manuel Junquito Baquerizo, y la sargentía mayor de la pl…</t>
  </si>
  <si>
    <t>Daza, Hermenegildo</t>
  </si>
  <si>
    <t>Hermenegildo Daza</t>
  </si>
  <si>
    <t>…sonal, y as cendió á capitán de caballería. • ' Mayor doma de.I-Pato'de Palacios. D.JosefMaría Gómez * ' • Idem del de Belén. D* Josef Elias Megías, : . ^ I Idem del de S. Miguel. D. Hermenegildo Daza, vecinos del Sombrero y Barbacoas, y han obtenido la nobleza personal. Escuadrones del Rey. D. Apojinario Alberto la nobleza personal. Capitán de milicias. D. Josef Alvarez, natural de S. Carlos , la nobleza personal. r::f 1 r;l vi* • vbnrifr*-2 vi or.rci./ ,…</t>
  </si>
  <si>
    <t>Daza, Juan Hermoso</t>
  </si>
  <si>
    <t>Juan Hermoso Daza</t>
  </si>
  <si>
    <t>…á cualquiera persona que tenga noticia de dicha Catalina Mateos se sirva comunicarla á D. Antonio Alvarez, vicario eclesiástico del referido arrabal de San Lorenzo, y en Madrid á D. Juan Hermoso Daza, dei comercio de cera, calle de Toledo, num. 1 7. Guía de la grandeza para el presente año de 1818, corregida y aumentada de un plan estadístico, que contiene todas las grandezas de España existentes, con sus títulos, apellidos, poseedores, sus esposas y prim…</t>
  </si>
  <si>
    <t>Degerando</t>
  </si>
  <si>
    <t>284</t>
  </si>
  <si>
    <t>…dose en él muchos extrangeros de distinción y algunas señoras, todos los cuales tomaron el mas vivo interes en. los importantes asuntos que allí se trataron» Según el. informe del.barón Degerando el método de Lancaster ó de la enseñanza mutua ha hecho ya señalados progresos, y se cuentan en Francia actualmente 84 escuelas, de esta clase ^ en que reciben la instrucción primaria 60© niños. Se van sintiendo ya los buenos efectos del decreto expedido por…</t>
  </si>
  <si>
    <t>Delamote</t>
  </si>
  <si>
    <t>…a las postas que esten mas ocupadas durante la época del congreso. Se espera al duque de Wellington en Bitche y Sarguemines , donde pasar rá revista al cuerpo bávaro que manda el general Delamote, Las cartas de Dresde dicen que el Emperador de Rusia ha mandado eri gir en honor del general Moreau un monumento, á legua y media de Dresde, en el mismo sitio en que fue muerto aquel general el dia 27 de Agosto de 3 813. ESPAÑA. * México 4 de Marzo. , Contin…</t>
  </si>
  <si>
    <t>Delgado, Antonio</t>
  </si>
  <si>
    <t>Antonio Delgado</t>
  </si>
  <si>
    <t>…uiaga 15, D. Ramón Go mia 10, D. Josef Ramón Zozalla 2, D-&gt; Jaime Mas 8, D. Martin de Irrgo•yen 8 , D.; Juan:.Gcrd.il.' d, D¿ tMiguel Antonio Oyarzabal 6 , D. Joaquín/ Emazabei 4, D. Antonio Delgado 4 , D. Vicente.Sarria 4, D. Marcial Bei*7 mudez 4, D. Joaquín Reina y Capetilío 8, D. Francisco Espar 6, D. Fran cisco Ríos i , Sr. marques dy Mijares 2 , D. Lorenzo Solórzano 10, D. Pe dro Josef Solórzano 16, DvJuan; Jósef Echezuria y Echeverría 6 &gt; D. Pablo…</t>
  </si>
  <si>
    <t>Delgado, Francisco</t>
  </si>
  <si>
    <t>Francisco Delgado</t>
  </si>
  <si>
    <t>…Es digno dé toda-recomendación el mencionado Silva por la exactitud con que cumplió mis órdenes , y por sus buenas disposiciones: lo son también los vecinos principales dél pueblo capitán D. Francisco Delgado, teniente Don Luis.Vieira, administradorde correos D. Corneüo Roaro, D. Camilo Cama» cho, D. AntonioRecalde, D. Manuel Herrero * D. Juan Larrondo y D. Vicente. Arana, por la prontitud con que facilitaron sus sirvientes, armas y caballos. y, Dios guarde á vmdL…</t>
  </si>
  <si>
    <t>Delgado, Luis</t>
  </si>
  <si>
    <t>Luis Delgado</t>
  </si>
  <si>
    <t>…e ellos un Romero de Sta. Rosalía, Romerito el dePedraza, el mayor de la división Francisco Alvaradó, los capitanes Trocones y Miguel Trejo, los ayudantes Landaeta y Garrido, y el alcalde Luis Delgado, habiendo sido otros muchos heridos. También se hicieron ^prisioneros, entre ellos los cabecillas Andrés Vázquez y F. Falcon de los deÁraure. &lt; „ No puedo menos 4e recomendar á V. E. el particular mérito que han contraido todos los oficiales y tropas de esta…</t>
  </si>
  <si>
    <t>Delgado, Manqel Amaya y</t>
  </si>
  <si>
    <t>Manqel Amaya y Delgado</t>
  </si>
  <si>
    <t>…anifiestan los riesgos que suelen seguirse á los entierros precipitados, socorros que se debpn usar con los primeros, y medios de evitar los segundos: dados al público español por D. Manqel Amaya y Delgado , médico titular de la villa'de Cáceres. Se hallará en la librería dé Pteréz, calle dé las Carretas: un tomo en 4.0, su precio 16 rs. EN LA IMPRENTA REAL.</t>
  </si>
  <si>
    <t>Denia, Josef Olivas y</t>
  </si>
  <si>
    <t>Josef Olivas y Denia</t>
  </si>
  <si>
    <t>…, alcalde del crimen mas antiguo de la propia audiencia ; para esta re sulta á D. Vicente Esteve: y para otra plaza del crimen de esta audiencia, que resulta vacante por muerte de D. Josef Olivas y Denia, á D. Fernando Josef de Toledo y el Corral; y para la plaza de alcalde del crimen de la chancillería de Valladolid , que resulta vacante por muerte de D. Josef Gon zález Villar , á D. Pascual Alpuente. Asimismo se ha servido S. M. conceder honores de oidor de…</t>
  </si>
  <si>
    <t>Despacho, Secretario del</t>
  </si>
  <si>
    <t>Secretario del Despacho</t>
  </si>
  <si>
    <t>…ulio. ARTICULO DE OFICIO. El teniente general D. Pablo Morillo , general en gefe del egercito expe dicionario de Costa-firme, con fecha de 11 de Diciembre ultimo remite al Excino. Sr. Secretario del Despacho de la Guerra copia del parte del briga dier D. Miguel de la Torre acerca de la acción del hato de la Hogaza, del que se dio noticia en la gaceta de 3 de Marzo próximo pasado, el cual di ce asi;</t>
  </si>
  <si>
    <t>Despujol, Josef María</t>
  </si>
  <si>
    <t>Josef María Despujol</t>
  </si>
  <si>
    <t>…Febrero. El día 19 de Enero tuvieron la honra de presentarse á S. M. y besar so Real mano los canónigos comisionados por el limo, cabildo de la metropo litana iglesia de Valencia D. Josef María Despujol, D. Valentín Zorrilla de Veíasco y D. Luis Exarque, con motivo de dar gracias por el restableci miento del tribunal de Contenciones en aquella ciudad; y el primero dijo: ,,Señor: Si otra vez como natural del principado de Cataluña tuve la gloria de manifestar…</t>
  </si>
  <si>
    <t>Dettzel.cn, Domingo</t>
  </si>
  <si>
    <t>Domingo Dettzel.cn</t>
  </si>
  <si>
    <t>T4'o......................... . de su residencia, según de los ‘referidos áutós se 'deduce , son los que-siguen : Don Pedro Valenzuela en la Havana, D. Domingo Dettzel.cn la villa de Morson, Don Wenceslao Helm en 2a ciudad del Puerto de Sta. María, los Sres. Sam y Woll en; Augsburgo v los. Sres. Debo urge Hemiarios en París ,,D.Juan; Kladt en, Holanda* los Sres. Hermanos Duerne en Á'ugsburgo, y D. Andrés Gallarda, cuya vecinda…</t>
  </si>
  <si>
    <t>Devesa, Miguel Cuyas y</t>
  </si>
  <si>
    <t>Miguel Cuyas y Devesa</t>
  </si>
  <si>
    <t>…en teología, cánones, jurisprudencia, medicina y cirugía, filosofía, oratoria, poesía, humanidades, historia, bibliografía y ciencias naturales. Eo la misma junta general el socio D. Miguel Cuyas y Devesa disertó eruditamente sobre él origen y progresos de la poesía catalana ó provenza!, probando que la póesía catalana ó provenzal trae su origen del árabe, y no del griego ni latín, y manifestando con muchísimos testimonios de autores extrangeros que los poetas…</t>
  </si>
  <si>
    <t>DfHenrique</t>
  </si>
  <si>
    <t>…Séñor y^áe los inimitables efectos de látr&amp;sbumacion , dedeiibierto^ por lo*bñósde 1354, y protegidos (sfn perjuicio de vuestros vasa-* Hos) por undignoSoberano de estos reinos el Sr. DfHenrique iv. * { , „ La primeraley que sancionó sobre este importante asunto es una prue ba convincente, río solo del aprecio que formó dé ’ésfei rhitoo de industria^ Sino que debia arlteponerla á todas la* détoas descubiertas'!hásta aquella épÓ^ fea; No quiso^sifi^em…</t>
  </si>
  <si>
    <t>Diarnanti, Tomas</t>
  </si>
  <si>
    <t>Tomas Diarnanti</t>
  </si>
  <si>
    <t>…opra con tal tesón que obliga á trabajar á todos los habitantes, si guiéndose d£ aquí el abandono de los plantíos, y grandes, perjuicios al co mercio. / ' vHa fabricado en Roma el Sr. Tomas Diarnanti una nueva especie de caño nes que se atacan por la culata, y se han probado repetidas veces : la opera ción es sencilla, pronta é infalible: son tan sólidos como los cañones comu nes , y su utilidad es evidente en particular para los buques de guerra , en Jos…</t>
  </si>
  <si>
    <t>Díaz</t>
  </si>
  <si>
    <t>…o de la canalla de que era gefe; y observándose que algunos querían reunirse en lacinia del cer ro, desde donde fogueaban á la tropa, partieron á desbaratarlos el citado te niente coronel Díaz, el cápitan Armijo y alférez D. Sebastian Montealvo, verificándolo á continuación el teniente coronel D. Agustín Bustillos, con lo que se logró dispersarlos enteramente, quedando en nuestro poder las armas, parque y demas que aparece en la adjunta nota. : ,,…</t>
  </si>
  <si>
    <t>Díaz, Celso</t>
  </si>
  <si>
    <t>Celso Díaz</t>
  </si>
  <si>
    <t>…r D. Juan Flo res , comandante militar de S. Pedro Piedragordá, con motivo del buen éxi to que logró en los pueblos del Rincón una partida que despachó este gefe á las órdenes del teniente D. Celso Díaz. ' ,,Díos guarde á V. E. muchos años,. Guadalajara 31 de Diciembre dp 1817. = Excmo. Sr. = Josef de la Cruz. = Excmo. Sr. virey D. Juan Ruiz de Apodaca.” ■? ‘ •' . • ,i V. ........... ,:fParte del sargento ntayor D. Juan Flores. i ; ,,Excmo; Sr; :■ En el dia…</t>
  </si>
  <si>
    <t>Diaz, Estéban</t>
  </si>
  <si>
    <t>Estéban Diaz</t>
  </si>
  <si>
    <t>…Antonio Valcárcel, ayudante de estado ma-* yor de la segunda división: al teniente graduado de capitán del Real cuerpo de Artillería , gefe de estado mayor de la primera división, D. Estéban Diaz, que á mi lado desempeñó las funciones de su empleo con la serenidad y valor que tiene tan acreditados: al adicto de la misma teniente graduado y alférez; de la Victoria D. Benito Rodríguez Boves., qué se distinguió , cómo siempre, por su valor: á mi ayudante…</t>
  </si>
  <si>
    <t>Díaz, Francisco</t>
  </si>
  <si>
    <t>Francisco Díaz</t>
  </si>
  <si>
    <t>…e piara que estaban preparadas con el siguiente lema: Premio d la juventud aplicada. finalmente sé. distribuyeron á los examinados Don Juan Ximenez de Muñana, D. Rafael de Rovina, D. Francisco Díaz, Don Blas Ballesteros, D. Mariano Jaén y D. Benigno Perez; habiendo sentido mucho la junta no tener arbitrio para recompensar á los demás. Madrid 11 de Setiembre. A R T I C V 1- 0 Ef R Q F T Q I Q. El R^%' nuestro Señor,, que se desvela ¡por la felicidad y fo…</t>
  </si>
  <si>
    <t>Diaz, Gorgoaio</t>
  </si>
  <si>
    <t>Gorgoaio Diaz</t>
  </si>
  <si>
    <t>…nfantería del Infante D. Carlos ¿ antes Real de Lima. Igualmente se ha dignado S. M. conceder el gobierno del castillo de Belver, en ia isla de Mallorca, ai teniente de infantería D. Gorgoaio Diaz, go-</t>
  </si>
  <si>
    <t>Diaz, Ignacio</t>
  </si>
  <si>
    <t>Ignacio Diaz</t>
  </si>
  <si>
    <t>…sefa Blanco y herma-, na 2 , D. Juan Vicente Arévalo 2 , D. Sebastian Fernandez de León 6, Don Pedro Bahamonde 4, D. Siiverio Galarraga 2, D. Fermín Castillo Beitia y hermanos 4 , D. Ignacio Diaz 2, Doña Josefa Solórzano 1, el presbítero Dorr Josef Gregorio Avila 1, D. Josef Navas 2, Sra. marquesa de Casa León iof Total 683 pesos y 4 reales. Pamplona 27 de Agosto. En los dias 19 y 22 de Junio último se celebraron en esta ciudad los exá menes públicos…</t>
  </si>
  <si>
    <t>Díaz, Juan</t>
  </si>
  <si>
    <t>Juan Díaz</t>
  </si>
  <si>
    <t>…tacase por el frente, y yo ton'el resto dé infantería y caballería desmonta da , con el teniente coronel graduado D. Juan Antonio de la Cueva , y el ca pitán de dragones de España D. Juan Díaz, me dirigí á flanquearlos, tenien do que vencer para él logro de esta operación una altura de mas de tres cuar tos de legua, sin camino, por encima de las peñas, desalojando algunos gru pos que con piedras, intentaban:impedirme el paso. Al. mismo tiempo Cosme</t>
  </si>
  <si>
    <t>…varé para su logro. ,, Dios guarde á V- E. muchos años. Real de Temascaltepec Abril 24 de 1818. Excmo. Sr. = Miguel Torres. == Excmo. Sr. virey D. Juan Ruiz de Apodaca.” Parte del capitán D. Juan Díaz. ,,Desde el dia 6 del corriente en que vmd. se separó de este punto deján dome encargado de él, como igualmente de que concluyese su fortificación, y persiguiese con continuas correrías las pequeñas partidas de rebeldes hasta lo grar su total exterminio, disp…</t>
  </si>
  <si>
    <t>Diaz, Pedro</t>
  </si>
  <si>
    <t>Pedro Diaz</t>
  </si>
  <si>
    <t>…legar, á. Uantoyuca % é informarse dé las ocurreiicias.de aquel punto ,, y hacer remudar los caballos que estuviesen estropeados para las operaciones subse cuentes. Al subteniente D. Pedro Diaz coh 60 infantes le dirigí por el camino de S. Juan para que se introdujese hasta,las inmediaciones de Monte Grande, v al amanecer del, 2; dividiese, esta fuerza en tres, guerrillas, para que con-m^s facilidad recorriese toda aquellamontaña'hasta lá falda Hé I…</t>
  </si>
  <si>
    <t>Díaz, Pedro</t>
  </si>
  <si>
    <t>Pedro Díaz</t>
  </si>
  <si>
    <t>…s anteriores. De la primera división de milicias de la costa del Norte. El teniente coronel graduado D. Josef Andrés de Jáuregui, capitán graduado D. Antonio Chirinos, subteniente D. Pedro Díaz "Villa, sargentos primeros distinguidos D. Felipe Ponz y D. Francisco Loide, sargento primero Juan Josef Ramos* ídem segundos Josef de Sosa y Pedro de la Parra, cabos primeros Josef Ig-r dichonació Humada, Justo Reyes y Dionisio Chirinos._Agregados d cuerpo.…</t>
  </si>
  <si>
    <t>Díaz, Plácido</t>
  </si>
  <si>
    <t>Plácido Díaz</t>
  </si>
  <si>
    <t>…cucha durante la navegación; cuyos distinguidos servicios reco miendo á V. E. muy particularmente, como asimismo á los comandantes del buque y granaderos D. Josef Ayones y alférez D. Plácido Díaz, que han mostrado á satisfacción e! valor y serenidad que tenían bien acreditado anteriormente. Dios guarde á V. E. muchos años. S. Fernando 13 de Mayo de 1817. = Excmo. Sr. “Sebastian de la Calzada. = Excmo, Sr. gene ral en gefe.” 3.0 „ Excmo. Sr.: Me apresu…</t>
  </si>
  <si>
    <t>Díaz, Tomas</t>
  </si>
  <si>
    <t>Tomas Díaz</t>
  </si>
  <si>
    <t>…resultas de las heridas, y Castolo Salázar, y contusos el ayudantede esta sección alférez graduado D. Ignacio Angel Elosua, el teniente coroneL capitán de realistas de Teloloapan D. Tomas Díaz, el cadete de dragones de&gt; España D. Vicente Cuilti, y el sargento del mismo cuerpo Antonio Perez. ,, Faltaría, Excmo. Sr., al cumplimiento'de mi deber si no elevase! ai su perior conocimiento de V. E. el mérito que han adquirido estas valientes tro-•. pas, q…</t>
  </si>
  <si>
    <t>…ía á todo correr- con dirección al rancho de Dolores, qué de allí distará cuatro leguas; y suponiendo fuese espía, como lo era, hice en eí momento que el teniente coronel graduado D. Tomas Díaz con 30 de sus rea listas, y el capitán D. Josef Mana Armijo con igual número de dragones del’ Potosí, y compañía que él manda, siguiesen á escape la huella de aquel, y se echasen á toda costa sobre la gavilla, siguiendo yo con la reserva de 20 hombres con la…</t>
  </si>
  <si>
    <t>…dó la infantería, se portó como en todas Ocasiones con el valor y empeño que yo deseaba. El capitán í). Josef María Armijo, el teniente coróñél graduado de realistas de este punto D. Tomas Díaz y su alférez D. Mariano Estrada no me dejaron que apetecer, visto su arrojo y de nuedo con que envolvieron la gavilla, sin darles lugar á ordenarse y hacer uso</t>
  </si>
  <si>
    <t>Die</t>
  </si>
  <si>
    <t>…ancia; y la ayudan tía del de Cap de Pera á D. Josef Font, subteniente agregado á la compañía de inválidos hábiles de Pamplona. En América. El gobierno é intendencia de Durango al brigadier D. Die go García Conde, y el de castellano de Acapulco al teniente coronel D. An tonio Lefdael, capitán del regimiento de infantería del Infante D. Cárlos, antes Real de Lima, dependientes ambos del vireinato de Nueva-España. S. M. se ha dignado conferir el arcedian…</t>
  </si>
  <si>
    <t>Diego</t>
  </si>
  <si>
    <t>…ones al juego de la Real lotería:obra curiosa é instructiva á toda cla se de jugadores y aficionados, y con especialidad á los administradores de dicha Real lotería: compuesta por D. Diego. Narciso Herranz y Quirós: un tomo en 8.° á 6 rs. en rústica. Se hallará en las librerías de Hurtado y Hermoso, calle de las Carretas. EN LA IMPRENTA REAL. " "</t>
  </si>
  <si>
    <t>…l numero de D. Anselmo Ordoñez, se sub astan en término y jurisdicción de la villa de Carabaña: primeramente 3 fanegas de tierra'de regadío con su alameda en la isla que llaman de D. Diego, inmediata al rio y el .caz quje ia riega , tasada cada fanega era 2500 rs.; un cañamar en *Ia vega de dicha villa, y sitio que-fljajnan ¿a,4 Jarrada, con su alameda, de una fanega ei\ sembradura, con un grupo de áia.ouosj, tasada en 3590= otro cañamar en la…</t>
  </si>
  <si>
    <t>…los de alcalde del crimen de la chancillería de Granada á p. Joaquín Cerigotita Vengoá, cor regidor de Alcalá de Henares: los de alcalde de la Cuadra de la audiencia de Sevilla á D. Diego de la Peña Sánchez, alcalde mayor jubilado dé lo.crimi nal y policía de Iá ciudad de Cádiz; y los de alcaldes del crínién de la au diencia de .Extremadura á D Josef Mariano Márquez y £guilar y Dv Maria no Robledo García, alcaldes mayores de Mataró y Sacedonl…</t>
  </si>
  <si>
    <t>…alle de Soba , montanas d© Santanderque .desde tes tas pasó á América muchos áños‘ hace , y-sí en caso de haber fallecido ..dejó hijos ó herederos legítimos, se'servirá avisarlo á D. Diego dé Palacio, del comercio de Mar drxd, que se halla encargado de comúnicarlé. cierto asunto que le interesa. Se desea saber el paradero de Teresa Mendoza, natural de Ayamonte, bautizada y casada en la misma villa. Hace tres á cuatro años se. hallaba en.Cádiz.…</t>
  </si>
  <si>
    <t>Díeguez, Luis</t>
  </si>
  <si>
    <t>Luis Díeguez</t>
  </si>
  <si>
    <t>…ía avanzado, sostuvo un vivo fuego y las posiciones; hasta que fue auxiliado, y ha salido gravemente herido; á los tenientes Don Ramón Momos y, D. Juan Cabrera: á los subtenientes D. Luis Díeguez, que salió Jierido, D. Juan González y D. Alejandro García: á los sargentos pri meros de Castilla Francisco Saurco y Pedro González, y el segundo Fran cisco. Re umet :.á los cabos Bernardo.Perez,.Francisco Prieto, Braulio Latorte , Angel López y Francisco Pud…</t>
  </si>
  <si>
    <t>Dietrichstein</t>
  </si>
  <si>
    <t>…tieron á esta ceremonia en una tribuna. Se habla en el día como de una cosa segura y próxima del matrimonio de nuestro Príncipe heredero con una Princesa de Baviera. Añaden que el conde Dietrichstein debe marchar inmediatamente á Munich en calidad de enviado extraordinario. GRAN BRETAÑA. Londres 13 de Diciembre. Los periódicos anglo-americanos refieren circunstanciadamente un suceso bastante serio ocurrido en Nueva-Orieans entre las autoridades civiles y…</t>
  </si>
  <si>
    <t>Diez, Clemente de Cavia y</t>
  </si>
  <si>
    <t>Clemente de Cavia y Diez</t>
  </si>
  <si>
    <t>548</t>
  </si>
  <si>
    <t>…15 dias que se concedieron; y no habiéndolo egecutado, á instancia del citado tesorero se ha acordado por el ex^presado Santo Oficio en providencia de 19 del actual, refrendada de D. Clemente de Cavia y Diez, secretario del Rey nuestro Señor, y del mismo tribunal, que en el término de 15 dias que por tercero y último término se les concede, contados des* .de la publicación de este aviso, acudan al mismo Santo Oficio; y los vales recla mados son los siguientes: Ci…</t>
  </si>
  <si>
    <t>Dio</t>
  </si>
  <si>
    <t>…, se escogieron de entre ellas para juz gar de las labores de manos á las Sras. Doña Juana Marichalar de Veraton y D oña Mariana Joven de Linares; y de doctrina cristiana y leer á D. Dio nisio Crespo, canónigo de esta santa iglesia, y vicario general, D. Benito Ortega Romanillos, dignidad de tesorero de la misma, D. Baltasar Salas*,,: también canónigo, y á los tres curas párrocos. Pero conociendo lo molesto que había de ser el examinar un núm…</t>
  </si>
  <si>
    <t>Dodszo</t>
  </si>
  <si>
    <t>…isfac ción* del agravio que le hizo en Diciembre ultimo aquel Gobierno, secues trando y confiscando bajo pretextos frívolos el cargamento del buque La Misericordia, mandado por el capitán Dodszo. PAIS ES-BAJOS-UNID OS. L&amp;vaina 3 de Junio. : Hace dos dias que nos hallamos en la mayor consternación con motivo de las disputa** y riñas sobrevenidas entre algunos paisanos y los soldados del 14.0 batallón de línea, de cuyas resaltas se hallan muchos paisan…</t>
  </si>
  <si>
    <t>Dolgoroucky</t>
  </si>
  <si>
    <t>…. PRUSIA. Aquisgran iq. de Octubre, . El conde.de Lieven, embajador de Rusia cerca de la corte de Londres, ha llegado á, esta ciudad de orden de su Soberano. Asimismo ha venido el príncipe Dolgoroucky, gentilhombre del Emperador Alejandro, y empleado en la misma embajada, corno también otras varias personas de distinción pro cedentes de Viena, y entre otras el conde de Palfi, el teniente coronel conde de Stadion, el conde Latour, gentilhombre del Emperador…</t>
  </si>
  <si>
    <t>Dolores, María</t>
  </si>
  <si>
    <t>María Dolores</t>
  </si>
  <si>
    <t>…ieren siendo arregladas. Habiendo fallecido abintestato en esta corte D. Domingo Antonio Suarez el dia 21 de Setiembre de i8c6, han acudido sus cuatro hijos D. Joaquín, D. Miguel, Doña María Dolores y D. Juan Suarez al juzgado del Sr. D. Joaquín Almszan y Ximeno, del Consejo de S. M., teniente primero de corregidor de esta muy heroica villa, por la escribanía del número de D. Tomas de Sancha y Prado, en solicitud de.que se les declare'por herederos de su padre; y S. S.,…</t>
  </si>
  <si>
    <t>Dominga</t>
  </si>
  <si>
    <t>…tres vales, bajo los apercibimientos legales. E-te despacho fue presentado en la citada villa de; Bilbao; pero á pesar de las diligencias con él practicadas, no pudo ser habida la Doña Dominga, por lo que á nueva instancia del mismo D. Josef Mariano ha acor dado dicho señor teniente se la cite y emplace á la misma Dona Dominga por este periódico, para que en el término de 30 dias siguientes al de su publicación se pre sente en su juzgadorá exponer…</t>
  </si>
  <si>
    <t>Domingo</t>
  </si>
  <si>
    <t>…dro de Legarreta y D. Feliciano Guerra, y cadete D. Nicolás Gutiérrez. Dragones de Querétaro: alféreces D. Josef Frias, D. Manuel Arre ta y D. Mauro Camocho. Dragones deS. Carlos: capitán D. Domingo ligar te y portas D. Josef Ignacio Ximenez y D. Pedro Alarcon. Fieles del Potosí: capitán graduado D. Mariano Guardiola. Realistas de Apan: capitán D. Joa quín Espinosa y D. Antonio Ortiz, teniente D. Josef Ponce y alférez Don Rafael Salinas. „ También recomi…</t>
  </si>
  <si>
    <t>Domingo, Di</t>
  </si>
  <si>
    <t>Di Domingo</t>
  </si>
  <si>
    <t>…s Ve" ga , y á los subtenientes D; Josef de la Callea D¿ Pedro Eernández y Don: Antonio Negra, que fueron los primeros en ocupar las posiciones del enemi"? go: al teniente coronel capitán Di Domingo* Antonio PcÉa, y al teniénte Don Josef María Martín, que suspensos de sus empleaste hallhroh stn destinor-pelr primero estuvo siempre á mi lado , y sobre * los fuegos comunicó1 mis órdenes? en los diferentes puntos á, que le mandé; con oportunidad,: y el * se…</t>
  </si>
  <si>
    <t>Domínguez, Antonio</t>
  </si>
  <si>
    <t>Antonio Domínguez</t>
  </si>
  <si>
    <t>…n iiMii.» ■ — : ’ En:el juzgado.de provincia del Sr. D. Julián de-Agudelo y Cespedes, del Con sejo de S. M., su alcalde del crimen de la Real audiencia de Sevilla, y escribanía de D. Antonio Domínguez,-se halla juicio de abintestato á los bienes de O. Juan Lipp, teniente coronel graduado, y capitán que fue del regimiento de suizos de Reding; que falleció intestado ; ■ y por id presente anuncio se cita , llama y . emplaza á ios pa rientes del difunto D. Jua…</t>
  </si>
  <si>
    <t>Domínguez, Juan Maríá</t>
  </si>
  <si>
    <t>Juan Maríá Domínguez</t>
  </si>
  <si>
    <t>…: para esta vara á D. Joaquin Beneito y Beneitorpara la de Sta. Cruz de Múdela á D. Josef Maceda : para la dé Mansiila de las Muías á D. Tiburcio Eguiluz : para la de Belalcázar á D. Juan Maríá Domínguez: para la del Viso, en la Mancha , á D. Josef París y Romero : para! ia de Villafranca del Vierzo á D. Josef García Alfonso, alcalde mayor de Villablino: para la de Torres á D. Leonardo de Veyan y Lartigaj y para la de Alcalá de los Gazules en comisión á D. Se…</t>
  </si>
  <si>
    <t>Domínguez, Plácido.Hernández</t>
  </si>
  <si>
    <t>Plácido.Hernández Domínguez</t>
  </si>
  <si>
    <t>…: para la dignidad de chantre de la santa iglesia metropolitana de Santa Fe á D. Antonio León y Acero: para la de maestrescuela á D. Juan Moreno y Herrera; y para la de tesorero á D. Plácido.Hernández Domínguez, va-' cantes todas estas dignidades por fallecimiento de los que las obtenían. Igualmente se ha servido S. M. conferir á D. Josef Rafael de los Santos la canongía que ha resultado vacante en la santa iglesia catedral de la Havaná por ascenso de D. Julián Jose…</t>
  </si>
  <si>
    <t>Don</t>
  </si>
  <si>
    <t>…taría de D. Pedro Juan dé Reclu&amp;a, que no han: Comparecido , para que en el perentorio término de 30 dias' lo hagan por sí ó por medio de apoderado con el competente póder ante él Sr. Don* Manuel Josef de Arbizu, del Consejo de S. M., alcaide de su Real Casa y Corte,</t>
  </si>
  <si>
    <t>Doñelfo, Cristóbal González</t>
  </si>
  <si>
    <t>Cristóbal González Doñelfo</t>
  </si>
  <si>
    <t>…uenté á una plaza de al caide del crimen de la chancillería de Valladolid; para la del Toboso, que lo está por nombramiento de D. Francisco Juan y Cantavilla para la de Ge rona, á D. Cristóbal González Doñelfo, y para la de Arjona , que está igual mente vacante por pTomocion á la de Cara vaca de D. Bernardo Josef de Hérvás:, á D. Diego Antonio Montero y Pelaez. ------------■ —— -i i- . - --------------------- 1 '■ ■ —■ ■- • ■ ■■ — ;---------------------- ■ *-r— — ,…</t>
  </si>
  <si>
    <t>Donesteve, Josef Julián de</t>
  </si>
  <si>
    <t>Josef Julián de Donesteve</t>
  </si>
  <si>
    <t>…con los competentes do cumentos por lá escribanía dél número de D. Miguel Gonzalo-, con apercibimiento qué al qué no lo haga ni cómparezca le parará el perjuicio qué haya lugar. \ D. Josef Julián de Donesteve, vecino dé la villa de Marqtiina, en el señorío de Vizcaya, falleció el día 23 de Agosto de este presente año, y ha dejado un legado para sus primos carnales de ambas líneas. Los que tengan derecho acudirán ó se en tenderán por escrito con D. Josef Gojeascoec…</t>
  </si>
  <si>
    <t>…, junto á S. Martin, núm. 6, cuarto segundo, casa denominada de aposento, como apoderado general del Excmo. Sr. D. Francisco de Horcaskas, he redero de la referida Doña María Ana. D. Josef Julián de Donesteve, vecino de la villa de Marquina, en el señorío de Vizcaya,' falleció el día 23 de Agosto de este presente año, y ha dejado un legado para sus primos carnales de ambas líneas: los que tengan derecho acudirán, ó se en tenderán por eicríto , con D. Josef Gojeasc…</t>
  </si>
  <si>
    <t>Dorado, Concepción</t>
  </si>
  <si>
    <t>Concepción Dorado</t>
  </si>
  <si>
    <t>…en la ciudad de Burgos, casa de Doña Sinforosa Montero. Se suplica á la, persona que supiese del paradero de Doña María Gutiérrez, hija de D, Diego, natural de Cienpozueios, ,y de Doña Concepción Dorado, natural de esta corte, ya difuntos, la cual tiene dos hermanos llamados D.; Félix y D. Lean dro, que se sirva avisarlo á D. Marcelino Losada Gutiérrez, calle del Pozo, entran do por la de S. Bernardo, núm. y, cuarto bajo, pues es para comunicarla asuntos de…</t>
  </si>
  <si>
    <t>Dorr</t>
  </si>
  <si>
    <t>Ndm. i y. [y cuartos,] 12S al GACETA DE MADRID DEL MARTES 3 DE FEBRERO DE 1818. ESTADOS -UNIDOS DE AMERICA. Nueva-Yorck 5 de Diciembre. El capitán Dorr, del bergantín Ontario, cayó el mes pasado en manos de un corsario insurgente, á quien imprudentemente se acercó no viendo mas bandera que la angloamericana; mas luego que estuvo á corta distancia^, el pirata enarboló su bandera, que era negra y blanca, y dió…</t>
  </si>
  <si>
    <t>Dou, Ramón Lázaro de</t>
  </si>
  <si>
    <t>Ramón Lázaro de Dou</t>
  </si>
  <si>
    <t>…to de aclararla y el de dar alguna noticia de cosas de nuestro reincr, faci litando el conocimiento de. todos los principales puntos.de economía poli tica,, ha trabajado esta obra D. Ramón Lázaro de Dou, cancelario dé la umversuJad de Cervera : consta de dos tomos en 4.0 Véndese en la librería de Dávila, calle de las Car retas, en donde se halla también de venta la obra del Derecho público de España, del mismo autor, en nueve tomos en 4.0 Celia y Rosa, ó la…</t>
  </si>
  <si>
    <t>Douglas</t>
  </si>
  <si>
    <t>…hecho varios interrogatorios al teniente Davies que intentó asesinar á lord Palmerston, y por ellos se ve qué el agresor estaba demente , lo cual parece que podrá justificarse. El almirante Douglas antes de salir de la Jamaica, de donde llegó ante ayer, recibió visita de un sugeto de aquella isla que tiene 143 años de edad, y goza de tan buena salud que aquel dia fue á pie desde su casa de campo á la habitación del almirante Douglas, cuya distancia es d…</t>
  </si>
  <si>
    <t>Dr</t>
  </si>
  <si>
    <t>…ra que la celebrasen como era debido. ' estepuntoi’se .anunció c desdé ¿luego con 1 un repique general y coir -;E^i salva triple de artillería, y al dia siguiente dispuso el señor cura Dr* Don Maouel.de: Avila}? Mutioi una solemne función dé iglesia,de misa y Te TTeumy con asistencia del clero, oficialidad y porción considerable de individuos de ambos'sexos~que concurrieron i.ellay manifestando su interesante 'satisfacción en los felices acont…</t>
  </si>
  <si>
    <t>…mencionados autos 1 pues ^pasado que sea dicho tér mino sin haberlo hecho, les parará el perjuicio que haya lugar, ¡ J Én virtud de providenciadle 7 del corriente, dictada por el Sr. Dr.;D. Salvador. Roca, visitador eclesiástico en esta villa de Madrid, á instancia del venerable ca-. bildo de señores curas y beneficiados de.ella, se ha mandado sacar á pública venta ppr término de nueve dias, contados desde 8 del corriente, un solar,perteneci…</t>
  </si>
  <si>
    <t>…Se suscribe en dicho despacho, y en las provincias en todas las admi nistraciones'principales y agregadas de córreos. Por providencia de 22 del cójrriente mes-de Mayó, dada por el Sr. Dr. D. Sal vador Roca , visitador eclesiástico^ de esta muy heroica villa, se ha señalado para el remate del solar anunciado en el diario de n del mismo mes y gaceta del 12 del referido, perteneciente al venerable cabildo de señores curas y beneficiados de ella,…</t>
  </si>
  <si>
    <t>Draper, Antonio Carrera y</t>
  </si>
  <si>
    <t>Antonio Carrera y Draper</t>
  </si>
  <si>
    <t>…los que contestó con pun tualidad y tino. Con igual esmero y con plena satisfacción del numeroso concurso, que apenas cabía en el salón, desempeñaron el examen sus tres compañeros Don Antonio Carrera y Draper, D. Josef María Ferrer y Vilajoana y D. Josef Antonio Manté y Gual, manifestando el primero que nada hay mas justo que la contribución que sufren los pueblos para acudir á los gastos públicos; pero que para ser el impuesto menos gravoso, y que menos perjudiqu…</t>
  </si>
  <si>
    <t>Duarte, Joaquín Ferreira</t>
  </si>
  <si>
    <t>Joaquín Ferreira Duarte</t>
  </si>
  <si>
    <t>…ugar de Fuencarral, adonde se acudirá ante el alguacil y escribano comisionados, en el que se les admitirán Jas posturas que hiciesen siendo arregladas. ' Habiendo sido incomodado D. Joaquín Ferreira Duarte, comerciante de la citi* d?d de Oporto, reino de Portugal, en el giro de su comercio, por la equivocación de su nombre con el de D. Joaquin Teijeira Duarte, comerciante de la misma ciu dad, que acaba de sufrir quiebras en el suyo, se avisa al público que el m…</t>
  </si>
  <si>
    <t>Duarte, Joaquin Teijeira</t>
  </si>
  <si>
    <t>Joaquin Teijeira Duarte</t>
  </si>
  <si>
    <t>…abiendo sido incomodado D. Joaquín Ferreira Duarte, comerciante de la citi* d?d de Oporto, reino de Portugal, en el giro de su comercio, por la equivocación de su nombre con el de D. Joaquin Teijeira Duarte, comerciante de la misma ciu dad, que acaba de sufrir quiebras en el suyo, se avisa al público que el mencionado Ferreira Duarte continúa en sus negociaciones sin quebranto ni desfalco, y con la buena fe, actividad y crédito que siempre ha acostumbrado desde…</t>
  </si>
  <si>
    <t>Ducarne, María Ana</t>
  </si>
  <si>
    <t>María Ana Ducarne</t>
  </si>
  <si>
    <t>…D. Alfonso Mateos Fajardo, Doña Isabel An^ Alvarez y Montes, viuda que fue de D. Fernando Navarro Balboa, por sí y en nombre de su hijo menor D. Josef Trini4 dad Navarro Balboa y Doña María Ana Ducarne, viuda de D. Josef Navarro Balboa! como madre y tutora, y sus cuatro hijos de menor edad D. Manuel, D. Miguel, Doií Joaquín y Doña María Concepta Navarro y Balboa, sobre incorporación á-la!Real corona.de la escribanía de millones dé la ciudad de Lorca*. en cu…</t>
  </si>
  <si>
    <t>Dufresen, Gabriel</t>
  </si>
  <si>
    <t>Gabriel Dufresen</t>
  </si>
  <si>
    <t>…unnan: dos misioneros franceses, clérigos seglares del seminario de París: 22 sacerdotes de! país: unos 70® cris tianos; religión cristiana prohibida: el último vicario apostólico D. Gabriel Dufresen, obispo de Trabaca, fue degollado por la fe en 14 de Setiem bre de tét 5. Xan-si. Provincias de Xan-si, Xen-si, Kansiu, Huqnang y Tartaria oc cidental. Un obispo franciscano italiano, dos misioneros franceses de la con gregación de S. Vicente de Paul y dos it…</t>
  </si>
  <si>
    <t>Dupon</t>
  </si>
  <si>
    <t>…ores, generales, ctíyás funciones desempeñarán en la infantería W caballería S. A. R. el Príncipe-de Orange, yen la artillería S. A. J3L el Príncipe. Federico El teniente gene ral barón Dupon, inspector que. era dé esta: arma, ha pedido y conseguido su retiró.' ■ * . *. •' ■ r: • . ■/. • r r, Las provincias meridionales: de este reinó presen tartenlá actualidad un as pecto digno de.fijar la atención: dé los .hombres reflexivos. Aí mismo tiempo que…</t>
  </si>
  <si>
    <t>Duran, Diego</t>
  </si>
  <si>
    <t>Diego Duran</t>
  </si>
  <si>
    <t>…uña, D. Manuel Unzueta y D. F rancisco Despot: el ayudante D. Aniceto Valverdet los tenientes Don Juan Ruiz Ordoñez., D. Vicente González y D. Antonio Henriquez: los sub tenientes D. Diego Duran, D. Vicente Benavides y D. Tomas Calvo: el ca pitán D. Manuel Pinuer; y el subteniente D. Josef Ugarte. ,,Ultimamente concluyo con demostrar el mayor -sentimiento por la muerte del esforzado subteniente de infantería de Concepción D. Alejo Da-* rae y Vilches,…</t>
  </si>
  <si>
    <t>Duran, Juan</t>
  </si>
  <si>
    <t>Juan Duran</t>
  </si>
  <si>
    <t>…r, en donde se hallaban 200 enemigos, mandados por «1 caudillo Juan Josef Rebolledo. Dos leguas antes de llegar á él hice desembar car 100 hombres á cargo del capitán de cazadores D. Juan Duran, y del ayudante adicto al estado mayor D. Josef de la Torre, que auxiliado por las flecheras, que al mismo fin destiné de vanguardia, fueron suficientes para des truir completamente los facciosos. El gefe Rebolledo, su segundo, otro gefe llamado Nuñez con muc…</t>
  </si>
  <si>
    <t>…rebeldes, que se arroja ron atropelladamente sobre el Apúre. A este tiempo los, había cargado con oportunidad la compañía de cazadores de Barinas, conducida por su bizarro «apitan D. Juan Duran, y pocovdespués llegó el resto de Ja infantería que man-</t>
  </si>
  <si>
    <t>Durana, Damiana Diaz de</t>
  </si>
  <si>
    <t>Damiana Diaz de Durana</t>
  </si>
  <si>
    <t>…ría de la Princesa ,f sus hijos y sucesores, para qué por sí Ó: por medio de' procurador, con podár básfafite ¡ se muestren parte á la declaración de herederos que se solicita por Doña Damiana Diaz de Durana , viuda de D. Juan Joaquín de Basterra, y Doña Rodriga Francisca de Basterra, madre y hermana respectiva, del D. Francisco; con apercibimiento que no lo hacíendp jen dicho término,. les parará el perjuicio que haya lugar. ; : , ! La plaza de médico de Villaru…</t>
  </si>
  <si>
    <t>D’aiinoy, Carlos Fabre</t>
  </si>
  <si>
    <t>Carlos Fabre D’aiinoy</t>
  </si>
  <si>
    <t>…, con la presidencia de su Real audiencia, al te niente general marques de la Reunión de Nueva-España: el gobierno militar y político de Sanlucar de Barrameda al mariscal de campo D. Carlos Fabre D’aiinoy, capitán del segundo regimiento de Reales guardias de infantería: el de Huesca, en Aragón, al brigadier D. Francisco de Paqla Uztariz, capir* tan del primer regimiento de las mismas Reales guardias: el del castillo de la isla de la Cabrera, una de las Baleare…</t>
  </si>
  <si>
    <t>Echegaray, Josef María</t>
  </si>
  <si>
    <t>Josef María Echegaray</t>
  </si>
  <si>
    <t>…ocurrencia. Nota» Los dos extrangeros presos son Cok y Nicolson. El Rey nuestro Señor se ha servido conceder el gobierno .de la provincia del Nuevo-Santander, en Nueva-España, al coronel D. Josef María Echegaray, teniente de Rey de la plaza de Veracruz, y comandante del castillo de S. Juan de Ulna. ” También se ha servido S.M- conceder la tenencia de Rey de la plaza de Seu de ürgel, en Cataluña, á D. V Ícente Carriola, comandante del tercer batallón del regimiento fi…</t>
  </si>
  <si>
    <t>Echenique, Bartolomé</t>
  </si>
  <si>
    <t>Bartolomé Echenique</t>
  </si>
  <si>
    <t>…D. Pablo Echezuria 10, D. Francisco de Azpurua 20 , D. Juan Santos de Larrazabal 5, D. Josef Jesús Goenaga 10, D. Miguel Martínez 5, D. Pedro Aguerrebere 5, D. Domingo Segura 5 , Don Bartolomé Echenique 5 , D. Toribio Espinosa 20, D. Juan Plá 5 , D. Lo renzo Treillan- 5 , D. Francisco Espelosin 10, D. Miguel Portillo 5 , Don Juan: Hernández 6 , D. Josef Baez 2 , D. Josef Arrese 4, D. Francisco-Ruz 1, D. Josef Manuel Chirinos 4 , D. Gerónimo Losada 3 , D. Rod…</t>
  </si>
  <si>
    <t>Echezuria, Pablo</t>
  </si>
  <si>
    <t>Pablo Echezuria</t>
  </si>
  <si>
    <t>…ente para las 1041 gorras, 2 clarines y una corneta que se han remitido para el servicio de las tropas del brigadier D. Francisco Tomas Morales. ■ • El conde de la Granja 6 pesos, D. Pablo Echezuria 10, D. Francisco de Azpurua 20 , D. Juan Santos de Larrazabal 5, D. Josef Jesús Goenaga 10, D. Miguel Martínez 5, D. Pedro Aguerrebere 5, D. Domingo Segura 5 , Don Bartolomé Echenique 5 , D. Toribio Espinosa 20, D. Juan Plá 5 , D. Lo renzo Treillan- 5 , D. Fr…</t>
  </si>
  <si>
    <t>EeUeiano</t>
  </si>
  <si>
    <t>…se rae dió parte que dos insurgentes se llevaban de las, inmediaciones de la hacienda de Sta. Ana lás muías del tren de artillería de esre pueblo : con tal noticia dispuse que el teniente D. EeUeiano: Avalos saliese con 5 o caballos en alcance de. aque4&gt; líos, y que* maréhaselcari la:mayor precaución* pof jsl &gt;tenian¿ alguna emboscada. i Asi sucedió/ pues á poco tiempo; de haber ¡llegado Avalos: 2: Sta; Ana se dhrigieron á ella igual ó mayor numero de reb…</t>
  </si>
  <si>
    <t>Eguía, Francisco de</t>
  </si>
  <si>
    <t>Francisco de Eguía</t>
  </si>
  <si>
    <t>…ro de Estado ho norario. Tendreislo entendido, y dispondréis su cumplimiento, comunicándolo á quien corresponda = Rubricado de la Real mano. = Palacio 14 de Setiembre de 1818. = A D. Francisco de Eguía.” 2.0 ,,He venido en exonerar á D. Josef Vázquez Figueroa del cargo de mi Secretario de Estado y del Despacho de Marina, y nombro para que le sirva en propiedad al teniente general D. Baltasar Hidalgo de Cisneros, espitan general en el departamento de Cádiz;…</t>
  </si>
  <si>
    <t>Eguiluz, Tiburcio</t>
  </si>
  <si>
    <t>Tiburcio Eguiluz</t>
  </si>
  <si>
    <t>…rés Benitez Martínez, alcalde mayor de Leganés: para esta vara á D. Joaquin Beneito y Beneitorpara la de Sta. Cruz de Múdela á D. Josef Maceda : para la dé Mansiila de las Muías á D. Tiburcio Eguiluz : para la de Belalcázar á D. Juan Maríá Domínguez: para la del Viso, en la Mancha , á D. Josef París y Romero : para! ia de Villafranca del Vierzo á D. Josef García Alfonso, alcalde mayor de Villablino: para la de Torres á D. Leonardo de Veyan y Lartigaj y pa…</t>
  </si>
  <si>
    <t>Eguren, Juan Bautista</t>
  </si>
  <si>
    <t>Juan Bautista Eguren</t>
  </si>
  <si>
    <t>…magistral de la catedral de Valladolid de Mechonean á D. Antonio Camacho : una ra ción de esta misma iglesia, vacante por ascenso de D. Antonio Cortés y dar te, al medio racionero D. Juan Bautista Eguren; esta resulta á D. Ramón Pa zos, y otra inedia ración, vacante en la propia iglesia por renuncia de D. Ma tías Josef de Feria, á D. Bérnardiño Pini y Ledos: la ración que ha quedado vacante en la catedral de Guadalajara por muerte del conde de Sta. Rosa á Don…</t>
  </si>
  <si>
    <t>Eiisabet, Bernardo</t>
  </si>
  <si>
    <t>Bernardo Eiisabet</t>
  </si>
  <si>
    <t>…ama Aifonsa Pintado Díaz, pues interesa y urge el saber dicha noticia. JLa plaza de cirujano latino de ladilla de Puente la Reina, reino de Navarra, se halla vacante por muerte de D. Bernardo Eiisabet, discípulo distinguido del co legio de Barcelona. Los señores que componen el ayuntamiento y veintena de esta villa han conferido el poder necesario para nombrar sucesor de este destino al Señor X&gt;. Vicente Martínez, médico segundo de cámara, vocal nato de Ja…</t>
  </si>
  <si>
    <t>Elias, Juan de Dios</t>
  </si>
  <si>
    <t>Juan de Dios Elias</t>
  </si>
  <si>
    <t>…nzo Fernande^de León, D. Juan Lorenzo Sánchez Cueto, D. Luis Franco, Doña Librada Perez Escovar, D. Joa quín Antonio Román, los Sres. Alzueta y Beratarrechea, D. Rafael Rodríguez, D. Juan de Dios Elias, los Sres. Bohe, hermanos y compañía, D. Mariano de Urbieta, D. Josef Uhicon, D. Ignacio Suarez, D. Francisco Antonio Abadía, Doa Mariano Gil y D. Josef Vilar, últimos tenedores de 32 vales Reales; 15 de ellos de 150 pesos, creación de Enero de 1808, con los…</t>
  </si>
  <si>
    <t>…Fernandez de León ,- D. Juan Lorenzo Sánchez Cueto, D. Luis Franco, Doña Librada Perez Escovar, D. Joaquín Antonio Ro mán, los Sres. Alzueta y Beratarrechea, D. Rafael Rodríguez, D. Juan de Dios Elias, los Sres. Bohe, hermanos y compañía, D. Mariano de Urbíeta, D. Josef Uhicon, D. Ignacio Suarez, D. Francisco Antonio Abadía, D. Mariano Gil y D. Josef Vilar, últimos tenedores de 32 vales Reales, 15 de ellos de 150 pesos, creación de Enero de 1808, con los n…</t>
  </si>
  <si>
    <t>Elío, Francisco Xavier</t>
  </si>
  <si>
    <t>Francisco Xavier Elío</t>
  </si>
  <si>
    <t>…e se ha llaba primorosamente adornado, y autorizado con el retrato del Rey nuestra Señor. La presidió el Sr. marques de Villores, su vice-director, teniendo á su derecha al Excmo. Sr. D. Francisco Xavier Elío, capitán general de este egército y reino. Se dio principio por un discurso que dijo el secretario Don Vicente María de Vergara, en el cual procuró manifestar que para que pro grese la industria, y sus obras se perfeccionen se la debe auxiliar con los co noci…</t>
  </si>
  <si>
    <t>Elío, Francisco'Xavier</t>
  </si>
  <si>
    <t>Francisco'Xavier Elío</t>
  </si>
  <si>
    <t>…ef Agustín Montaner, del orden de S. Agus tín , leyó una memoria del establecimiento y estado actual de la casa de Be neficencia , fundada en esta ciudad por el Excmo. Sr. capitán general Don Francisco'Xavier Elío, sostenida por los auxilios de S. E., del Excmo. Señor arzobispo D. Fr. Veremuudo AriasTejciro, y limosnas del público, y nueva-</t>
  </si>
  <si>
    <t>Elisabé, Bernardo</t>
  </si>
  <si>
    <t>Bernardo Elisabé</t>
  </si>
  <si>
    <t>…que se vende, y ha sido casa, en un parage apreciable de esta corte. La plaza de cirujano latino de la villa de Puente la Reina, reino de Navarra, se halla vacante por muerte ,dfc D. Bernardo Elisabé : la dotación anual de este par tido es de 600 pesos.fuertes valor de aquel país, ó 9600 rs. vn. pagaderos por tercios de 3200 rs. cada uno. Los cirujanos que aspiren a este destino dirigirán sus pretensiones documentadas en el término de 15 días, contados de…</t>
  </si>
  <si>
    <t>Elosua, Ignacio Angel</t>
  </si>
  <si>
    <t>Ignacio Angel Elosua</t>
  </si>
  <si>
    <t>…os de! mismo cuerpo , que lo son el granadero Estéban Aguilar;, que fa lleció de resultas de las heridas, y Castolo Salázar, y contusos el ayudantede esta sección alférez graduado D. Ignacio Angel Elosua, el teniente coroneL capitán de realistas de Teloloapan D. Tomas Díaz, el cadete de dragones de&gt; España D. Vicente Cuilti, y el sargento del mismo cuerpo Antonio Perez. ,, Faltaría, Excmo. Sr., al cumplimiento'de mi deber si no elevase! ai su perior conocimie…</t>
  </si>
  <si>
    <t>Elua, Josef</t>
  </si>
  <si>
    <t>Josef Elua</t>
  </si>
  <si>
    <t>…subtenientes D. Antonio Villalba y D. Rafael Villavicencio, heridos de gra vedad: el capitán D. Manuel Velazquez , los tenientes D. Juan Sorelo, Don Juan Gómez, D. Josef Segador, D. Josef Elua y D. Manuel Martin Alvarez, y los subtenientes D. Tiburcio de Cañas, D. Antonio Tuya, D. Ma nuel Sánchez Trívino y D, Martin de Santiestéban, heridos. Dragones de S. Luis: el capitán D. Anastasio Bustamante herido. Dragones de S. Carlos: el capitán D. Manuel Linares herido de gravedad.…</t>
  </si>
  <si>
    <t>Embajador</t>
  </si>
  <si>
    <t>…del Rey nuestro Señor, para pedir la mano de dicha Princesa á sus augustos Padres, se egecutó éste solemne acto con to da la pompa correspondiente el 23 del mes próximo pasado. El Sr. Embajador, que se había trasladado á Palermo á bordo de la fra gata de guerra de la Real marina la Sirena, pasó en el dicho día con tren de gala al Real palacio, acompañado del secretario de embajada D. Manuel de Aguilar, de los caballeros,de. embajada el teniente coro…</t>
  </si>
  <si>
    <t>…o, con las expresiones mas propias de un buen padre, y en que mostró el mayor cariño háeia S. M. Católica y .el Sr. Infante, y el alto aprecio que, hace de la nación es pañola. El Sr. Embajador pidió á SS.AA. RR. períhisd-para presentar á la Pjrincesá^Doña Luisa Carlota el retrato y urfa Carta dé Sü ail^üstCf^Es^oso; y ha biendo venido á la sala la Princesa, S. E. le dirigió un breve discurso en ita liano, y le presentó la carta y retrato. S. A. R.…</t>
  </si>
  <si>
    <t>Embriz, Josef</t>
  </si>
  <si>
    <t>Josef Embriz</t>
  </si>
  <si>
    <t>…uz D. Josef Ordoñez ; al capitán de realistas de Te—? loioapan, graduado de teniente coronel, D. Tomas Diáz, y al alférez D. Ma-riano Estrada; al capitán de realistas de este real D. Josef Embriz, y te niente de la misma D. Vicente Patino, quienes con sus compañías asaltaron* conmigo los parapetos; al R. P. Fr. Gaspar Tembleque, capellán de esta ¡ di¿&gt; visión, quien al momento que vio herido al comandante se puso á su lado,’ hallándose en medio de los…</t>
  </si>
  <si>
    <t>Empecinado</t>
  </si>
  <si>
    <t>…ado, y que al mismo fin lo comunique á las justicias de los pueblos de su distrito; dán dome aviso del recibo para noticia del Consejo. Madrid 26 de Noviembre de 1817. Deseando el general Empecinado dar al público y á los valientes y be neméritos soldados de la división de su creación y mando una nueva prueba de que hasta en la distribución que prometió hacer en gaceta de 18 de Se tiembre último de los 10© rs. condonados por el R. P. Fr. Josef Latasa, re…</t>
  </si>
  <si>
    <t>Encar, María</t>
  </si>
  <si>
    <t>María Encar</t>
  </si>
  <si>
    <t>…odos los puntos de las Amóricás| lÓ“qüe s¿ 'avisa ál publicó" párá su. inteligencia á los fines quó le convengan. ' : Se cita á los acreedores é interesados en la testamentaría de Doña María Encar nación Nestares y Chapín, viuda de D. Francisco Jlerjrera, para que concurran á la jimta que se ha de celebrar el dia 20 de este mes , ¡á. las nueve, en fe posada del Se ñor D. Angel Fernandez de los Ríos, del Consejó‘de S. M., teniente corregidor dé ésta muy…</t>
  </si>
  <si>
    <t>Enguidanos, Tomas</t>
  </si>
  <si>
    <t>Tomas Enguidanos</t>
  </si>
  <si>
    <t>…ue representan varios personages í caballo, grabadas por los mejores profesores españoles, cada úna 12 rs Tres vistas del anfiteatro de Murviedro, grabadas por D. Rafael Este ve y D. Tomas Enguidanos, cada uná 8. = Vista en perspectiva de la plaza dé Algeciras, por Enguídanos, i2.zzrPrimer baile en máscara que se dió en el.coliseo del Príncipe, 8, ( Se continuarán.) Por el señor alcalde de la Real Casa y Corte D. Ramón Satué se ha señalado el dia i.° de O…</t>
  </si>
  <si>
    <t>Enguídanos, Tomas López</t>
  </si>
  <si>
    <t>Tomas López Enguídanos</t>
  </si>
  <si>
    <t>…ada por D. Fernando Selma, á 80 rs._La bendición de Jacob á sus nietos., del original del Güerchino, por D. Raféel Esteve, á Óo._La Caridad romana,, del -original de -Murilló, por D. Tomas López Enguídanos , á 60. (Se continuara.} ■ ■ ■ ■ 11 ' 1 »'|H i» ■•■■■» lili. ■■ 1 1 ■" « ' »" .. ' ‘ ■— ........... .....'........— ■1 * ' ■' ©e conformidad dttfe todos los interesados en la testamentaría de*©.'Juan Bautista Lluch, vecino que fuefde esta oorte, y en virtildl…</t>
  </si>
  <si>
    <t>Enrich, Mariano</t>
  </si>
  <si>
    <t>Mariano Enrich</t>
  </si>
  <si>
    <t>…La geometría dando las defi niciones, y la teoría y práctica de las propiedades de las líneas, ángulos y triángulos. D. Lorenzo Via: De lo? rectáqgulos y áreas y sus propiedades* D. Mariano Enrich: Dejas propiedades del círculo. D. Josef Alegret: De las proporciones y sus propiedades. D. Narciso Albrador: De la trasfórmacion de planos.</t>
  </si>
  <si>
    <t>…dignó también honrar el certamen presidiendo á la Real academia; y empezó el alumno D. Lorenzo Via disertando sobre los sólidos, individualizando su for mación , magnitud y razón. D. Mariano Enrich: Sobre la cuadratura del círculo. D. Josef Alegret: Sobre trigonometría esférica. D. Narciso Albrador: De las secciones cónicas, la parábola. D. Salvador Ros: Sobre las mismas, las definiciones, y bellísimos teore mas y problemas de la elipse é hipérbola. En…</t>
  </si>
  <si>
    <t>Enrile, Pascual</t>
  </si>
  <si>
    <t>Pascual Enrile</t>
  </si>
  <si>
    <t>…e , éra muy inferior á su imponderable valor, logro con sos acertadas disposiciones salvar este precioso depósito, y hacerle trasportar á esta corte bajo la custodia y cuidado del general D. Pascual Enrile,; que coadyuve á que pudiera salvarse. * Llegada aqui esta preciosa colección el Rey nuestro Señor mandó que fuese trasladada á su Real palacio, en donde después de haber examinado por sí mismo, y en compañía de la Reina nuestra Señora y de SS. AA. RR. el Ser…</t>
  </si>
  <si>
    <t>…lleno de los mas nobles sentimientos en favor de las ciencias naturales, le presentó el 10 de Octubre de 1816 al Excmo. Señó? D. Pablo Morillo, para que lo remitiese á S. M., y el general D. Pascual Enrile lo trajo á España con todo lo demas perteneciente á. la enunciada ex pedición botánica de Mutis, dando la honrosa comisión de presentarlo á S. M. al capitán D. Antonio Wan-Halen, encargado de la conducción de tan preciosos objetos. En el sorteo de la Real lot…</t>
  </si>
  <si>
    <t>Ensebio</t>
  </si>
  <si>
    <t>…facer á tan anticipadas y vivas pruebas de lealtad y afecto por parte de aque llos habitantes, túvo la satisfacción de anunciarles tan feliz época en la si guiente proclama: „Nos D. Ensebio dp'Bárdaxí y.Azára;, caballero gran cruz -de la orden española de Carlos iir, caballero de la de S. Juan de Jérusalen, consejero de Estado de S. M; C., su embajador cerca de la corte de Turin, y minis tro plenipotenciario de SÓM. la Infanta María Luisa, Duque…</t>
  </si>
  <si>
    <t>Eran-, María</t>
  </si>
  <si>
    <t>María Eran-</t>
  </si>
  <si>
    <t>…nidad. Asistieron á este acto religioso en la Real tribuna la Reina nuestra Señora y las Sermas. Sras. Princesa Real, Prin cesa Doña María Teresa, las Sras. Infantas y la Princesa Doña María Eran-, cisca Benedicta; el cuerpo diplomático, convidado de antemano, los grandes del reino, seculares y eclesiásticos , los generales y oficiales de superior gra duación , ios ministros, y en suma un numeroso concurso de personas distin guidas de todas clases. Los…</t>
  </si>
  <si>
    <t>Ercilla, Alonso de</t>
  </si>
  <si>
    <t>Alonso de Ercilla</t>
  </si>
  <si>
    <t>…. Continuación de las estampas que se hallan de venta en la calcografía de la im prenta Real,zz:jEn medio pliego de marca, mayor, zzzTercero: Hernán Cortes, Garcilaso de la Vega, D. Alonso de Ercilla, D. Pedro Calderón de la Barca, Miguel de Cervantes Saavedra, y D. Josef Patino: 4.a D. Antonio Agustín, D. Sancho Davila, D Juan de Austria, D. Alvaro de Bazan , Antonio de Nebrija, y Pedro Me»nendez de Aviles: 5.0 D. Juan de Austria, Fr. Luis de Granada, Ma…</t>
  </si>
  <si>
    <t>Erró, D Juan Bautista de</t>
  </si>
  <si>
    <t>D Juan Bautista de Erró</t>
  </si>
  <si>
    <t>…cuanto se les preguntó sobre otros puntos de la ciencia, llenaron de satisfacción al numeroso cuanto ilustrado concurso que acudió á ambas funciones, y en particular al M. I. Sr. intendente D Juan Bautista de Erró y a la’Real junta que presidia el acto , asi como á S. el Sr. D. Francisco Xavier de Castaños, nuestro dignísimo general; manifestan do todos la complacencia que les causaba el vér premiados los desvelos de la respetable corporación de comercio con el aprovec…</t>
  </si>
  <si>
    <t>Es, Carlos</t>
  </si>
  <si>
    <t>Carlos Es</t>
  </si>
  <si>
    <t>…........ ............................... ,942. 5.578,371. El Rey nuestro Señor seba dignado nombrar segundos cabos comandan tes generales de las provincias de Cataluña al teniente general D. Carlos Es paña , y de Guipúzcoa al de la misma clase duque de Granada de Ega: pa ra la sargentía mayor de la plaza de Denia al teniente coronel D. Remigio Falcon, capitán agregado al batallón ligero primero de Voluntarios de Araon ; y para las ayudantías de Tarifa, Cád…</t>
  </si>
  <si>
    <t>Escoto, Pedro</t>
  </si>
  <si>
    <t>Pedro Escoto</t>
  </si>
  <si>
    <t>…£ pública subasta dos casas sitas en esta corte, y su calle de la En comienda, con accesorias á la de las Dos Hermanas, señaladas con el núm. 4 y 5, manz. 63 , que pertenecieron á D. Pedro Escoto y Doña Bernarda Uteda, su muger, teniendo de sitio Ja primera 4529 pies cuadrados superficiales, y la segunda 434E pies, y ambas se hallan tasadas en 137065 rs. vn., y se han rematado en 989 rs. vn. ú dinero metálico, con rebajo de las cargas que sobre sí tienen, y gastos judicial…</t>
  </si>
  <si>
    <t>…a subasta dos casas sitas en esta corte y su calle de la Encomien da, con accesorias i la de las tíos Hermanas, señaladas con los números 4 y 5 de la manz. 63, que pertenecieron á D. Pedro Escoto y Doña Bernarda Uteda, su ger, siendo él sitio dé la primera 4529 pies, y el de la segunda 4341 pies, tasadas ambas en 1370(55 rs. vn., y están rematadas en io¿f&amp; á dinero metálico, con reba ja de las cargas que tengan y gastos judiciales. La persona' que quisiere mejorar el enunc…</t>
  </si>
  <si>
    <t>Escovar, Librada Perez</t>
  </si>
  <si>
    <t>Librada Perez Escovar</t>
  </si>
  <si>
    <t>…se les concede desde el de su anuncio en la gaceta y diario de esta corte, á D. Manuel Saenz del Prado, D. Lorenzo Fernande^de León, D. Juan Lorenzo Sánchez Cueto, D. Luis Franco, Doña Librada Perez Escovar, D. Joa quín Antonio Román, los Sres. Alzueta y Beratarrechea, D. Rafael Rodríguez, D. Juan de Dios Elias, los Sres. Bohe, hermanos y compañía, D. Mariano de Urbieta, D. Josef Uhicon, D. Ignacio Suarez, D. Francisco Antonio Abadía, Doa Mariano Gil y D. Josef…</t>
  </si>
  <si>
    <t>…por tercero y último se les concede, contados desde su publicación, á D. Ma nuel Sánchez del Prado, D. Lorenzo Fernandez de León ,- D. Juan Lorenzo Sánchez Cueto, D. Luis Franco, Doña Librada Perez Escovar, D. Joaquín Antonio Ro mán, los Sres. Alzueta y Beratarrechea, D. Rafael Rodríguez, D. Juan de Dios Elias, los Sres. Bohe, hermanos y compañía, D. Mariano de Urbíeta, D. Josef Uhicon, D. Ignacio Suarez, D. Francisco Antonio Abadía, D. Mariano Gil y D. Josef V…</t>
  </si>
  <si>
    <t>Escovar, Miguel</t>
  </si>
  <si>
    <t>Miguel Escovar</t>
  </si>
  <si>
    <t>…s de esta escuela , la que se halla en un estado cual nunca se ha conocido, por cuya razón el ayuntamiento y todos los que presenciaron el acto dieron repetidas gracias al maestro D. Miguel Escovar*, por él esmero y eficacia que manifiesta de la 'buena enseñanza de los*1 niños, á pesar dé teper á su cargo mas de 140 ; siendo de esperar que se logre ^ilustrar á la juventud cual apetece nuestro Soberano. ' Madrid 16 de Octubre. En el sorteo de la Real .lo…</t>
  </si>
  <si>
    <t>Escovedo, Juan de Dios de</t>
  </si>
  <si>
    <t>Juan de Dios de Escovedo</t>
  </si>
  <si>
    <t>…rétaro al mando del teniente graduado de Zamora D.: Francisco Sanz, con los oficiales teniente D. Josef Vázquez y alférez D. Andrés Mon tero, de España, y los cadetes de Querétaro D. Juan de Dios de Escovedo y D. Manuel de Alday, con el objeto de que reuniesen la gente del Capulín, Sta. Ana y rancherías para violentar la fortificación de este punto tan intere sante al Real servicio. ,,A1 regreso de esta partida, que seria á las 10, se presentó el rebelde Sebastian González y Mateo He…</t>
  </si>
  <si>
    <t>Escribano, Lúeas</t>
  </si>
  <si>
    <t>Lúeas Escribano</t>
  </si>
  <si>
    <t>…se dió principio al acto. Habiendo sido examinados los alumnos con toda escrupulosidad, se pro cedió á la adjudicación de premios, que se distribuyeron á los sügetos si guientes: D. Lúeas Escribano, D. Josef Larrea, D. Raimundo Lecina , Doii Vicente Higueras y D. Pascual Vicente. Fue también considerado digno de premio D. Antonio Ximeno; y mientras el muy ilustre gobernador dió á cada uno su premio, la música cantó unas letrillas en honor de los premiad…</t>
  </si>
  <si>
    <t>Escudero, Justo</t>
  </si>
  <si>
    <t>Justo Escudero</t>
  </si>
  <si>
    <t>…. Josef María Peña , poirta graduado dé teniente D. Mariano Teran, porta D, Benito Fernandez y cade:e!D. Josef Zamora. De Nueva-Vizcaya: capitán D. Josef María Móreno y\alféreces' D. Justo Escudero y D. Lazaré Ariñendariz. Dragones de Sieffagorda: teniente coronel graduado D. Cristó bal Viilaseñbrcapitanea graduados D. josef García Mirin y D. Nicolaos</t>
  </si>
  <si>
    <t>Espar, Francisco</t>
  </si>
  <si>
    <t>Francisco Espar</t>
  </si>
  <si>
    <t>…; Juan:.Gcrd.il.' d, D¿ tMiguel Antonio Oyarzabal 6 , D. Joaquín/ Emazabei 4, D. Antonio Delgado 4 , D. Vicente.Sarria 4, D. Marcial Bei*7 mudez 4, D. Joaquín Reina y Capetilío 8, D. Francisco Espar 6, D. Fran cisco Ríos i , Sr. marques dy Mijares 2 , D. Lorenzo Solórzano 10, D. Pe dro Josef Solórzano 16, DvJuan; Jósef Echezuria y Echeverría 6 &gt; D. Pablo Gascue ■*, D. Manuel Manrique y Sierra 6' ,T). Feliciano Palacios 6yD. Juan • Josef Bahamondé 6 , D.…</t>
  </si>
  <si>
    <t>Espejo, Antonio Marques y</t>
  </si>
  <si>
    <t>Antonio Marques y Espejo</t>
  </si>
  <si>
    <t>…or el mismo , y publicado por D. A. M. y E.: un tomo en 8 ° — Memo rias de Blanca Capello, gran duquesa de Toscana, para la historia de la virtud en la humilde y alta fortuna: por D. Antonio Marques y Espejo. Se hallarán en la librería de Hurtado, calle de las Carretas, á 8 rs. en pasta y 6 en rustica. Observaciones médico-políticas sobre la estimación, vicios y defectos que han te-f nido y tienen las profesiones y profesores del arte de curar: por el Lie. D. ¿la…</t>
  </si>
  <si>
    <t>Espelosin, Francisco</t>
  </si>
  <si>
    <t>Francisco Espelosin</t>
  </si>
  <si>
    <t>…Jesús Goenaga 10, D. Miguel Martínez 5, D. Pedro Aguerrebere 5, D. Domingo Segura 5 , Don Bartolomé Echenique 5 , D. Toribio Espinosa 20, D. Juan Plá 5 , D. Lo renzo Treillan- 5 , D. Francisco Espelosin 10, D. Miguel Portillo 5 , Don Juan: Hernández 6 , D. Josef Baez 2 , D. Josef Arrese 4, D. Francisco-Ruz 1, D. Josef Manuel Chirinos 4 , D. Gerónimo Losada 3 , D. Rodulfo Vasallo iD. Tomas Pónce 4 reales¿ D. Juan Campos 2 pesos, D. Juan Insua 2 , Don Francisc…</t>
  </si>
  <si>
    <t>Espi, Agustín</t>
  </si>
  <si>
    <t>Agustín Espi</t>
  </si>
  <si>
    <t>…abelo Alcántara 16, D. Félix Domingo Martínez 2 , Don Juan: Esteban de dEehezuria 20, D. Bernardo Pénelas 20, T). Antonio Na;yarro 20, D. 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 Rafael Minteguiaga…</t>
  </si>
  <si>
    <t>Espinóla, Carlos</t>
  </si>
  <si>
    <t>Carlos Espinóla</t>
  </si>
  <si>
    <t>…gua francesa ¡ á D. Giabricl Orbegozo , y á D. Luis Poey el accessit. Crramdtica castellana: á D. Joscf Ma ría Agu'irre, yá D. Manuel Jane el accessit.Dibitjo: á D. Juan Poey, y i D. Carlos Espinóla el áctessil. Escritura .* á í). Josef Manuel César ,y á Don Guillermo Larraganel accessit. Lectura : á D. Victoriano Pastor ., y á Don Pascuai Meñdive el accessit.-.Doctrina.cristiana:.a ÍX Josef'Antonio CabaJlero ,y á D. Simón Inchausti el accessit. Y conclu…</t>
  </si>
  <si>
    <t>Espinóla, Gárlos</t>
  </si>
  <si>
    <t>Gárlos Espinóla</t>
  </si>
  <si>
    <t>…á esta clase de enseñanza, particularmente ei cuadro de Hipólito y Fedra ege— cutado por el alumno interno D. Juan Poey, y 4a cabeza de Rómulo en gran tamaño por ei de igual clase D. Gárlos Espinóla. Siguióse á esto un completo y lucido egercrció de gramática, prosodia y ortografía castellana, con K&gt; cual se terminó la sesión del primer aia, que me reció infinitos parabienes y aprobaciones de todos los concurrentes. El segundo din se empezó por el examen…</t>
  </si>
  <si>
    <t>Espinosa</t>
  </si>
  <si>
    <t>…eal: D. Juan Loustalet, de Cádiz: D, Agustín Fernandez, de Bornos: D. Juan Bolaños, de Zalamea: D. Pedro Romero Balmaseda, de Se villa; y D. Manuel Lerena y Caro, de Trebujena. El caballero Espinosa mostró á nombre de lá hermandad su satisfacción al</t>
  </si>
  <si>
    <t>Espinosa, Antonio</t>
  </si>
  <si>
    <t>Antonio Espinosa</t>
  </si>
  <si>
    <t>…ese en la librería de Ranz, calle de la Cruz, á 22 rs. cada tomo en rústica. Anales eclesiásticos y seculares de la ciudad de Sevilla, por D. Diego Ortiz de Zúñiga, ilustrados por D. Antonio Espinosa: cinco tomos en 4.0 Se hallará en el al macén de la imprenta Real á 90 rs. en papel. . .................. En la imprenta sita en la calle de la Greda se vende papel pautado por mayor al equitativo precio de 48 rs. resma, no dándose menos de media resma por re…</t>
  </si>
  <si>
    <t>…3 del corriente en la audiencia dé Si S., de dpce á lina de su mañana. ' , ‘ Anales eclesiásticos y seculares dé la ciudad de Sevilla, por D. ¡Diego Ortiz de Zúñiga,ilustrados por D. Antonio Espinosa: cinco tomos en 4.0 Se hallarán en el al macén de la imprenta Real á 90 rs. en papel. M'émoria en que sé manifiesta el error y preocupación en que todavía estaivmü¿has personas acerca de la libertad de los abastos jde lps pueblo^; lo perniciosa que £s IjELcos…</t>
  </si>
  <si>
    <t>Espinosa, Isidro</t>
  </si>
  <si>
    <t>Isidro Espinosa</t>
  </si>
  <si>
    <t>…utiérrez. Nueva-^Galicia : ca-, piran graduado D. Mariano González Laris; alférez D. Mariano Becerra. Realistas de Apan: capitanes D. Joaquín Espinosa y D. Josef Ortiz; tenien tes D. Isidro Espinosa y D. Josef Castillo , y alférez D. Rafael Salinas. ,, Asimismo mis ayudantes de campo capitán de Zaragoza D. Pedro Gar^, cía Paredes, de fieles del Potosí, capitán graduado f&gt;. Manuel Rodríguez, y del regimiento de dragones de Moneada teniente D. Francisco Santelices, y el capel…</t>
  </si>
  <si>
    <t>Espinosa, Joaquín</t>
  </si>
  <si>
    <t>Joaquín Espinosa</t>
  </si>
  <si>
    <t>…Ni colás Zarzosa; teniente graduado D. Patricio Gutiérrez. Nueva-^Galicia : ca-, piran graduado D. Mariano González Laris; alférez D. Mariano Becerra. Realistas de Apan: capitanes D. Joaquín Espinosa y D. Josef Ortiz; tenien tes D. Isidro Espinosa y D. Josef Castillo , y alférez D. Rafael Salinas. ,, Asimismo mis ayudantes de campo capitán de Zaragoza D. Pedro Gar^, cía Paredes, de fieles del Potosí, capitán graduado f&gt;. Manuel Rodríguez, y del regimiento de dragones de M…</t>
  </si>
  <si>
    <t>Espinosa, Josef de</t>
  </si>
  <si>
    <t>Josef de Espinosa</t>
  </si>
  <si>
    <t>…sobre la misma doctrina de acentos: y abierto el pliego de censura, hasta entonces cerrado, el teniente de hermano mayor de la cofradía de los Santos, patrona del establecimiento, D. Josef de Espinosa, caballero maestrante de Ronda que presidió el acto, procedió al repartimiento de varios egemplares de las obras de Hugo Blair, Muratori, íriarte, Huerta, Florez y Samaniego, que según sus clases recibieron D. Be nito de Salas, D. Luis García, D. Juan Pablo P…</t>
  </si>
  <si>
    <t>Espinosa, Josef Valero</t>
  </si>
  <si>
    <t>Josef Valero Espinosa</t>
  </si>
  <si>
    <t>…e 24 del pasado, se ha mandado que por este periódico sean citados, llamados y emplazados, con término de un mes, contado desde i.° del corriente, D. Josef Joaquín de Valdearenas, D. Josef Valero Espinosa , natural de Moneada, en el reino de Valencia, D. Antonio Carrasco, de Gén.ova, D. Rafael Correa, Joa quín Rodríguez, de Asturias, Doña Rosa Velazquez, Doña Teresa González, de Valladolidi Antonia Carreras, de Valdemoro, y D. Francisco Vigil, del reino de Fra…</t>
  </si>
  <si>
    <t>Espinosa, Toribio</t>
  </si>
  <si>
    <t>Toribio Espinosa</t>
  </si>
  <si>
    <t>…rancisco de Azpurua 20 , D. Juan Santos de Larrazabal 5, D. Josef Jesús Goenaga 10, D. Miguel Martínez 5, D. Pedro Aguerrebere 5, D. Domingo Segura 5 , Don Bartolomé Echenique 5 , D. Toribio Espinosa 20, D. Juan Plá 5 , D. Lo renzo Treillan- 5 , D. Francisco Espelosin 10, D. Miguel Portillo 5 , Don Juan: Hernández 6 , D. Josef Baez 2 , D. Josef Arrese 4, D. Francisco-Ruz 1, D. Josef Manuel Chirinos 4 , D. Gerónimo Losada 3 , D. Rodulfo Vasallo iD. Tomas P…</t>
  </si>
  <si>
    <t>Esponera, Joaquina Delgado de</t>
  </si>
  <si>
    <t>Joaquina Delgado de Esponera</t>
  </si>
  <si>
    <t>…y ofreciendo» vestidos á los mas pobres , como efectivamente los han recibido ya completos dejsu benéfica mano Manuel Tornero y Gabriel Varela. Merece particular elogio el zelo de Doña Joaquina Delgado de Esponera, que ha vestido á Diego Reja, que sobresalió en la cuarta clase. La completa satisfacción de los magistrados, de los señores de ambos ca bildos, de muchos eclesiásticos seculares y regulares, y de multitud de per sonas de uno y otro sexo que se dignaron asist…</t>
  </si>
  <si>
    <t>Esquive, Dionisio</t>
  </si>
  <si>
    <t>Dionisio Esquive</t>
  </si>
  <si>
    <t>…o de Zaragoza D. Vicente Rolan y I&gt;. Juan Ampudia, como asimismo el subteniente 0. Josef Tainoa, que con la mayor eficacia comunicó mis Órdenes, y el bizarro alférez deSíerragorda D. Dionisio Esquive!, los. sargentos de. Sierragorda Francisco Munguia</t>
  </si>
  <si>
    <t>Esquivel, Manuel</t>
  </si>
  <si>
    <t>Manuel Esquivel</t>
  </si>
  <si>
    <t>…En medio pliego de marca wn^or.zzrEstampa de nuestra Señora con su Hijo en los brazos, pintada por Murillo, y grabada por Ametller, 10 rs. = Otra pintada por Mengs, y grabada por D. Manuel Esquivel, 8. =¡Estampa de S. Josef, copiada del original de Alonso Cano, que se halla en S. Gines de Madrid, 8. = Estampa cfó Sita, María Magdalena, copiada de Guido Reñí , y grabada por D. Juan Bruneti, 8. = Otra idem del mismo Guido Reñí, 6. (Se continuará.') En el…</t>
  </si>
  <si>
    <t>Essen</t>
  </si>
  <si>
    <t>…á la Reiría viuda ; más nuestro actual Soberano ha dado ya órdenes para que esta disponga de lo que guste, queriendo probar de este modo su agradecimiento á su padre adoptivo. El barón Essen ha sido nombrado para llevar la noticia del fallecimiento del difunto Rey, y de la exaltación del nuevo Soberano á su esposa, que se halla en París; y para anunciarlo á la corte de Francia se ha dado orden á Mr. D’Ohson, quien se halla de ministro de Suecia e…</t>
  </si>
  <si>
    <t>Estado, Secretario de</t>
  </si>
  <si>
    <t>Secretario de Estado</t>
  </si>
  <si>
    <t>…d; lo que se verificó á las tres de la tarde del mismo dia, celebrados antes los oficios correspondientes con la mayor solemnidad. Circulares del Consejo supremo de Guerra. 1.a El Sr. Secretario de Estado y del Despacho de la Guerra con fe cha de 16 de este mes me ha comunicado la Real orden siguiente: „ Al Sr. Secretario de Estado y del Despacho de Hacienda digo con esta fecha lo que sigue: „El Consejo supremo de la Gjtierra ha hecho presente al Rey nuestro S…</t>
  </si>
  <si>
    <t>…s 206.782,818 rs., y ademas la ventaja en favor del Estado de haberse suprimido la carga anual de 9.796,149 rs. por los réditos que devengaban los capitales amortizados. El Excmo. Sr. Secretario de Estado y del despacho de la Guerrá ha re cibido últimamente diferentes partes sobre operaciones militares en Costa*</t>
  </si>
  <si>
    <t>…dando muerte á los que le conducían le trajo prisionero. ,,Dios guarde á V. E. muchos años. Cuartel general de Cumaná 28 de Agosto de 1817. = Excmo. Sr. = Pablo Morillo. = Excmo. Sr. Secretario de Estado y del despacho universal de la Guerra.” f</t>
  </si>
  <si>
    <t>…or si se digna poner esta acción en conocimiento de S. M. ,,Dros guarde á V. E. muchos años. Cuartel general de Cumaná 28 de Agosto de 1817. =:Excmo. Sr. = Pablo Morillo. = Excmo, Sr. Secretario de Estado y del Despacho universal de la Guerra.” El regimiento de infantería de Barbastro perteneciente á la primera divi sión , cuya fuerza total consistía en 2 gefes , 12 oficiales y 303 soldados, ha tenido de pérdida 5 soldados muertos, 47 ídem heridos, 7 Ídem cont…</t>
  </si>
  <si>
    <t>…epique general de campanas, con iluminación en las tres noches consecutivas. El virey de Nueva-España D. Juan Ruiz de Apodaca, con fecha de 9 de Julio último, dice desde México al Sr. Secretario de Estado y del Despa cho de la Guerra lo que sigue: „Excmd. Sr.: Consiguiente á lo que dije á V. E. en mi parte núm. 21 de 30 .de Junio último, sobre que los rebeldes se sostenían obstinadamente en el fuerte de Palmillas, le comunico ahora que estrechados los enemigos…</t>
  </si>
  <si>
    <t>…e arca buceado inmediatamente. ESPAÑA. * „ » - ' * t ! Madrid 4 de Febrero. A R T ICÜLO DE OFICIO. Después de haber participado el virey de Nueva-España D. Juan Ruiz de Apodaca ai Sr. Secretario de Estado y del Despacho de la Guerra el des-: embarco del traidor Mina en el territorio que está á su cargo, sus primeras operaciones en él , las medidas que había tomado para su destrucción , y el resultado de algunos encuentros que habían tenido con él las tropas de…</t>
  </si>
  <si>
    <t>…Brusco, ruso , de Odesa, con trigo, 30 idem. ¡ 19- Canario S. Josef, patrón Jaime Pica, español, de Arens, en lastre, X5 idem. Madrid 13 de Febrero. ARTICULO DE OFICIO. El Excmo. Sr. Secretario de Estado y del Despacho de la Guerra ha re cibido el siguiente oficio del teniente general D. Pablo Morillo con el parte que le acompaña: „ Excmo. Sr.: Remito á V. E. el adjunto parte que me ha dado el te niente coronel D. Francisco Ximenez, comandante del batallón de…</t>
  </si>
  <si>
    <t>…ndida en ios víctimas del Dos de Mayo. ARTICULO DB OFICIO. El virei de Nueva-España D. Juan Ruiz de Apodaca con fecha de 30 de Setiembre del año anterior dice entre otras cosas al Sr. Secretario de Estado y del Despacho de la Guerra lo que sigue: ,, Excmo. Sr. •. Concluida la toma y destrucción del fuerte construido por los rebeldes en la sierra de Comanja, como manifesté á V. E. en mi parte núm. 28 de 31 de Agosto último, y cuyo croquis remito á V. E. en un t…</t>
  </si>
  <si>
    <t>…visión Thiebault en el año de 1813 , y traducido al castellano por un ^individuo de la comisión de gefes y oficiar; Jes establecida en la corte á las inmediatas órdenes del Excmo. Sr. Secretario de Estado y def Despacho universal dé la Guerra: un tomo en 4.0 Sé hallara en"la li breríade Dávila,'calle de las Carretas, á 20'-rs. enrustica* r:‘ ; ^ : !i‘£i f Mv. h. ..: .K.; i?-. - V .. .1A Nota, En la gaceta riúm. 42 del martes 7 del corriente» plana última; lín.…</t>
  </si>
  <si>
    <t>…eral D. Pablo Morillo, general en gefe del egército expe dicionario de Costa-firme , con fecha de 26 de Febrero último desde el cuar tel general de la villa de Cura dice ai Excmo. Sr. Secretario de Estado y del, despacho de la Guerra lo que sigue: ,, Hallándome en el pueblo de la Victoria tuve avisos ciertos de que el traidor Bolívar aprovechando el tiempo de las brisas, y subiendo el Orinoco, se había reunido con fuerzas de consideración al cabecilla Paez: no…</t>
  </si>
  <si>
    <t>…gual Real orden lo traslado á V. E. para que se sirva disponer su publicación en la gaceta. Dios guarde á V. E. muchos años. Palacio 22 de Abril de 1818.= Juan Lozano de Torres. = Sr. Secretario de Estado y del Despachó.’* Nota de los jornaleros y sirvientes pobres, parientes de víctimas del Dos de Mayo de 1808, agraciados con la pensión de 2 rs. vn. diarios, y de los sugetos qué se hicieron acreedores en dia tan memorable á la medalla de honor. Pensionados. C…</t>
  </si>
  <si>
    <t>…miento en la pane que lé cor res pon de. ^Seña la do de la Rea) mano. = En Palacio á 20 de Mayo de 1818. =: Al duque ‘del Infantado,” A consecuencia del anterior decreto el Excmo. Sr. Secretario de Estado y, del Despacho de Gracia y Justicia elevó : 4 las Reales manos de S, M. la exposición siguiente : ^ .</t>
  </si>
  <si>
    <t>…M. al solio, ocupó la silla que le estaba preparada; después -deC haber saludado á ía Reina nuestra Señora y á SS. A A. RR. que estaban en una tribunas OÍ- * En seguida el Excmo. Sr. Secretario de Estado hizo seña al rey de ar mas para que llamase al consejero Luis Josef Garvalho á fin de que subiera á hacer la arenga af Rey. Presentado ante el trono dijo el rey de armas: oíd, oid, oid, estad atentos; y entonces el referido consejero* hecha la debida re veren…</t>
  </si>
  <si>
    <t>Excmo. Sr. Secretario de Estado leyó en voz alta la fórmula del juramento y pleito homenage que debía prestarse á S. M. Llegóse luego á hacer el juramento el Sermo. Sr. Príncipe Real ; y veri ficado , besó la mana al Rey nuestro Señor j y en seguida lo egecutó el Sere nísimo Sr. Infante D.…</t>
  </si>
  <si>
    <t>…que ha contraído el brigadier D. Miguel de la Torre, como igualmente la conducta del regimiento5 de húsares de Fernando vir, y de lós batallones de Castilla y Navarra. - El Excmo. Sr. Secretario de Estado y del Despacho de Marina ha recibi do por extraordinario un oficio del teniente de Navio D. Antonio Quintánó, comandante de la corbeta Diamante , fecho en Cádiz á 28 de Junio próximo pasado, cuyo contenido en extracto es el siguiente: ,, Salió de la Hávana el…</t>
  </si>
  <si>
    <t>….. En Patencia* 37307............. ............ ARTicuiio de Oficio. :¡ El comandante militar de marina' de la provincia de Aígeciras , en oficio de 22 de Junio dirigido al Excmo. Sr. Secretario de Estado y del despacho de Marina, dice lo siguiente: „Ayer mañana fondeó en esta bahía el místico de guerra nombrado e Marques de Casteldurius, al mando del'teniente de fragata D. Joaquín Frías, con 12 piezas de artillería, 30hombrea de tripulación y 17 individuas de…</t>
  </si>
  <si>
    <t>…rdenanza. ^ ARTICULO DE OFICIO. El teniente general D. Pablo Morillo, general en gefe del egército expedi cionario de Costa-firme, con fecha de io de Abril último remite al Excmo. Sr. Secretario de Estado y del despacho de la Guerra copia del parte que le ha dado el comandante general de la provincia de Cumaná, que es como sigue: ,, Excmo. Sr.: Tengo el honor de -dirigir á V. E. la adjunta copia del parte que con fecha 14 del actual me pasó desde Cariaco el co…</t>
  </si>
  <si>
    <t>…naparte i escrita y publicada de orden de S. M. por la tercera sección dé la comisión de gefes y oficiales que se halla establecida en la corte á las inmediatas órdenes del Excmo. Sr. Secretario de Estado y del despacho universal de la Guerra: tomo i.°, introducción. Se hallará en la librería de Dáviia, calle de las Carretas, á 26 rs. en rustica. . Oración fúnebre á la buena-memoria del E1110. Sr. D. Pedro de Queyedo y Quintamo, presbítero cardenal de, la Sta.…</t>
  </si>
  <si>
    <t>…urales hácia la augusta persona del Rey nuestro Señor , ha dirigido á los pies del trono, con fecha de 8 de Junio último, tina sumisa y reverente exposi ción por medio del Excino. Sr. Secretario de Estado y del despacho univer sal de Gracia y Justicia D. Juan Estéban Lozano de Torres, implorando de Ja soberana munificencia la gracia de que se la permita erigir á S. M. uria.estatua ecuestre, colocándola en paragé publico, que sirviendo de modelo de lealtad á la…</t>
  </si>
  <si>
    <t>…. 33214- 2000 ídem........... En Barcelona. 26673. 1000 ídem........... En Madrid. ARTICULO DE OFICIO. Circular del Consejo Real. Con fecha 30 de Octubre último comunicó ei Excmo. Sr. Secretario de Estado y del despacho de Gracia y Justicia al Excmo. Sr. duque del Infan tado , presidente del Consejo, la Real orden siguiente: ,,Excmo. Sr.; Conformándose el Rey nuestro Señor con el parecer de V. E. en su papel de 21 del corriente, contestando á la Real orden de…</t>
  </si>
  <si>
    <t>Estado, Secretario del Despacho de</t>
  </si>
  <si>
    <t>Secretario del Despacho de Estado</t>
  </si>
  <si>
    <t>…. El mismo día 2 salió S. A. sin la menor novedad para el pueblo de Hernani, en donde hizo noche. Madrid 8 de Mayo. ARTICULO DE OFICIO. Circular del Consejo de Hacienda. El Excmo. Sr. Secretario del Despacho de Estado ha remitido con fecha 16 del corriente al Consejo supremo de Hacienda en sala de Gobierno y jun ta general de Negocios y Dependencias de extrangeros la Real orden y copia del soberano despacho expedido al ministro de S. M., residente en Constantinopla, cuyo t…</t>
  </si>
  <si>
    <t>Estage, Juan</t>
  </si>
  <si>
    <t>Juan Estage</t>
  </si>
  <si>
    <t>Gaceta de Madrid n.º 39</t>
  </si>
  <si>
    <t>En consideración á la nobleza distinguida qce concurre en D. Juan Estage r Alvarado, y á sus méritos y servicios, por Real resolución, á consulta de se ha dignado S. M. concederle mer—? a Cámara den de Octubre de 1817, ced de título de Castilla, con la denominación de conde de Torreflorida, para sí, sus hijos y sucesores perpetuam…</t>
  </si>
  <si>
    <t>Estala, Tomas Perez</t>
  </si>
  <si>
    <t>Tomas Perez Estala</t>
  </si>
  <si>
    <t>…te mérito en las labores, de cuya enseñanza están encargadas las maestras: mas cuando se veia e»; apuro por falta de fondos, halló en la generosidad de su director socio de mérito D. Tomas Perez Estala, de la Real y distinguida orden Española doCarlos ^11,.intendente honorario de;provincia, un auxilio que aceptó gustosas j-,-fiitaLdiic^iidio,tqii.e .sufrió filtre tanto su cjisa fábrica- de paños, cono-.*</t>
  </si>
  <si>
    <t>Este, Rafael</t>
  </si>
  <si>
    <t>Rafael Este</t>
  </si>
  <si>
    <t>…éz yséts. estampas que representan varios personages í caballo, grabadas por los mejores profesores españoles, cada úna 12 rs Tres vistas del anfiteatro de Murviedro, grabadas por D. Rafael Este ve y D. Tomas Enguidanos, cada uná 8. = Vista en perspectiva de la plaza dé Algeciras, por Enguídanos, i2.zzrPrimer baile en máscara que se dió en el.coliseo del Príncipe, 8, ( Se continuarán.) Por el señor alcalde de la Real Casa y Corte D. Ramón Satué se ha…</t>
  </si>
  <si>
    <t>Estéban</t>
  </si>
  <si>
    <t>…comendados autores. Sin embargo de que-todos los niños merecieron la aprobación de los, circunstantes y de jos censores, qye lo fueron el expresado alcalde mayor y el cura párroco D. Estéban ,Ximenez de Ribera,, declararon estos dignos de premio , y condecoraron como á sobresalientes con una 'medalla de plata-, en cuyo fondo se leía Oropesay .y en su contorno d- la niñez instruida, á los niños siguientes: En escribir, geografía, aritmética y gram…</t>
  </si>
  <si>
    <t>…f Rubio, del Consejo de S. Al., teniente corregidor de esta muy heroica villa, se cita y emplaza á D. Agustín de Trápaga, D. bebastian Cardiel, Doña María Sexmilo» D. Miguel Sanz, D. Estéban delHoyo, D. Juan de Goya, y á los interesados en la testamentaría de D. Josef Antón; y por fallecimiento de ellos á sus herederos sucesores en sus derechos, como acreedores de la testamentaría de D. Manuel de Ezquerra y Trápaga, vecino y del comercio de Madri…</t>
  </si>
  <si>
    <t>…a la gavilla de Mateo Franco con mas de 60 hombres, á la que avisaron los fugitivos que iban los de S. Pedro' en número de 8 ó xo de que se componia la descubierta, pues al citado Don Estéban no le vieron, porque llevaba su marcha por la altura inmediata af camino para observar al enemigo. ,,Con el aviso que tuvo la gavilla de ser tan corto número se dispuso á aguardar á los nuestros, que seguían en busca de los que se hablan fugado, y diero-n pro…</t>
  </si>
  <si>
    <t>Esteban, Miguel Antonio</t>
  </si>
  <si>
    <t>Miguel Antonio Esteban</t>
  </si>
  <si>
    <t>…y patriarca. r Se vende en la: librearía 4e&gt; Hurtado, calle de; las Carretas. Eufemiaó la muger verdaderamente instruida á sacad a dé la Elisa dél célebre aleman Campe: sai editor D. Miguel Antonio Esteban. Esta obraque puede consta derarse como un tratado completo de educacióxrparadas mugeresr, se halla ;e¡scrira con sencillez y buen método , todo lo que puede contribuir á hacerlas felices y útiles en la sociedad : un tomó, en 8.°i que se hallará en la librerí…</t>
  </si>
  <si>
    <t>EstébanPrado</t>
  </si>
  <si>
    <t>…eza personal. Capitán de milicias. D. Josef Alvarez, natural de S. Carlos , la nobleza personal. r::f 1 r;l vi* • vbnrifr*-2 vi or.rci./ ,, c . ; * J-l r, Campo 'oblante del Paolf D. EstébanPrado, aprobado .eir su empleo def teniente y Don personal. r i/'-rC v . ¡ -i. o-' \j ■ Segundo ayudante de1 cirugía del egército. D. Tomas Carrillo la no** bleza personal. . , : : - r - Segundos practicantes de cirugía. D. Juan Rodríguez la nobleza per sonal : D’.…</t>
  </si>
  <si>
    <t>Estenoz, Ignacio Ramírez</t>
  </si>
  <si>
    <t>Ignacio Ramírez Estenoz</t>
  </si>
  <si>
    <t>…spués en tierra, en ios momentos mas críticos de la acción. / ,,Son acreedores á toda consideración por los auxilios que han prestado al egército el gobernador interino de Cutnaná D. Ignacio Ramírez Estenoz, y particularmente el benemérito brigadier D. Juan Bautista Pardo, capitán ge neral interino de estas provincias, cuyo gefe, desde el momento que llegó á ellas comisionado por mí para el acopio de víveres, ha trabajado incesantemen te, y ha dado disposiciones…</t>
  </si>
  <si>
    <t>Estepa, Josef Rafael de</t>
  </si>
  <si>
    <t>Josef Rafael de Estepa</t>
  </si>
  <si>
    <t>…y escribanía dei citado Pozo, don de se admitirán las que hiciesen siendo arregladas. En la gaceta de 23 de Marzo de 18i6 se anunció que el que supiere el parade ro ó la muerte de D. Josef Rafael de Estepa, que residía en esta corte al tiempo de la revolución sin haberse tenido noticia alguna de él desde aquella época, so servirá avisarlo al M. R. P. Fr. Josef González, residente en S. Felipe el Real de esta corte-: cuyo anuncio se repite por ser sumamente inte…</t>
  </si>
  <si>
    <t>Estepar, Santiago</t>
  </si>
  <si>
    <t>Santiago Estepar</t>
  </si>
  <si>
    <t>…eal, núm. 7, manz. 143 , y tiene 12316 pies de sitio, y está tasada en 389789 rs. La persona que quisiere ha cer postura acuda ante dicho señor juez por la.escribanía de número de D. Santiago Estepar en el término de 15 dias , contados,desde 5 del corriente. A voluntad de su dueño se vende una cas? y huerta;cercada en el lugar de Ca.^, rabanchel de abajo, con agua de pie y noria. Quien quisiere comprarla acuda á lf escribanía de provincia que egcrce D. Ma…</t>
  </si>
  <si>
    <t>Estepar, Santiago de</t>
  </si>
  <si>
    <t>Santiago de Estepar</t>
  </si>
  <si>
    <t>…es. ; Por providencia del Sr. D. Angel Fernandez de los Ríos, del Consejo de S. M., teniente primero de corregidor de esta muy heroica villa, dada por ante el escribano del número D. Santiago de Estepar, á instancia del.reverendo padre comendador de nuestra Señora de la Merced calzada de esta corte, se cita, llama y emplaza por terce ro y último término á todas las personas que tengan derecho de patronato á las capi llas que en la iglesia de dicho convento l…</t>
  </si>
  <si>
    <t>Ésteve, Rafael</t>
  </si>
  <si>
    <t>Rafael Ésteve</t>
  </si>
  <si>
    <t>…Madrid d: la-iglcsia de S. Isi dro el Real ios restos dedos dos heroicos ..capitanes del mismo cuerpo Daoiz y Velarde : dos estampas de marca mayor, grabadas por P. Blas ÁmetUer y D. Rafael Ésteve, y dedicadas al Rey nuestro Señor por dicho Real cuerpo. Véndense en el despacho de la Real calcografía en la imprenta Real á i do rs. vn. cada juego» * EN LA IMPRENTA REAL. • ' &lt;•. . . -</t>
  </si>
  <si>
    <t>Esteve, Raféel</t>
  </si>
  <si>
    <t>Raféel Esteve</t>
  </si>
  <si>
    <t>…:«'imperial liEl-Pásmo de:Sicilia ,del; original dé Rafael-de Urbino, gra bada por D. Fernando Selma, á 80 rs._La bendición de Jacob á sus nietos., del original del Güerchino, por D. Raféel Esteve, á Óo._La Caridad romana,, del -original de -Murilló, por D. Tomas López Enguídanos , á 60. (Se continuara.} ■ ■ ■ ■ 11 ' 1 »'|H i» ■•■■■» lili. ■■ 1 1 ■" « ' »" .. ' ‘ ■— ........... .....'........— ■1 * ' ■' ©e conformidad dttfe todos los interesados en la…</t>
  </si>
  <si>
    <t>Esteve, Vicente</t>
  </si>
  <si>
    <t>Vicente Esteve</t>
  </si>
  <si>
    <t>…oción de D. Francisco Martínez de Galinsoga á plaza de alcaide de Corte., á D. Francisco de Paula Hue, alcalde del crimen mas antiguo de la propia audiencia ; para esta re sulta á D. Vicente Esteve: y para otra plaza del crimen de esta audiencia, que resulta vacante por muerte de D. Josef Olivas y Denia, á D. Fernando Josef de Toledo y el Corral; y para la plaza de alcalde del crimen de la chancillería de Valladolid , que resulta vacante por muerte de D…</t>
  </si>
  <si>
    <t>Estrada, Fernando María de Valdivia y</t>
  </si>
  <si>
    <t>Fernando María de Valdivia y Estrada</t>
  </si>
  <si>
    <t>…erra el dia 17 de este mes.. . , oLi-: í.-.b rii: ' . ESPAÑA. - r :; , .nu-y... ■ jRonda 4 de Noviembre. ‘ El Reál cuerpo dé maestranza caballería de esta ciudad, presidido por el Sr. D. Fernando María de Valdivia y Estrada* teniente de S. A. R., en cele bridad del plausible dia de su dignísimo hermano mayor el Sermo. Sr. Infante D. Carlos María Isidr.9, y en observancia de sus Reales ordenanzas, celebró con la mayor magnificencia y aparato su función de instituto., según la ten…</t>
  </si>
  <si>
    <t>Estrada, Julián Alonso y</t>
  </si>
  <si>
    <t>Julián Alonso y Estrada</t>
  </si>
  <si>
    <t>…el presente, bajo la prevención de que ai que no concurra le parará perjuicio lo que se acuerde y deter mine en dicha junta. A instancia de varios acreedores á la testamentaría de D. Julián Alonso y Estrada; vecino y escribano de provincia que fue en esta corte , radicada en el juzgado del señor D. Martin de Gaztañaga, del consejo de S. M., su alcalde de Casa y Corte, y escri banía de provincia y comisiones de la misma de Manuel López'de Rivas, se ha mandado cel…</t>
  </si>
  <si>
    <t>Estrada, Ma-riano</t>
  </si>
  <si>
    <t>Ma-riano Estrada</t>
  </si>
  <si>
    <t>…cio Bravo, y al teniente graduado del regimiento de Veracruz D. Josef Ordoñez ; al capitán de realistas de Te—? loioapan, graduado de teniente coronel, D. Tomas Diáz, y al alférez D. Ma-riano Estrada; al capitán de realistas de este real D. Josef Embriz, y te niente de la misma D. Vicente Patino, quienes con sus compañías asaltaron* conmigo los parapetos; al R. P. Fr. Gaspar Tembleque, capellán de esta ¡ di¿&gt; visión, quien al momento que vio herido al com…</t>
  </si>
  <si>
    <t>Estrada, Mariano</t>
  </si>
  <si>
    <t>Mariano Estrada</t>
  </si>
  <si>
    <t>…como en todas Ocasiones con el valor y empeño que yo deseaba. El capitán í). Josef María Armijo, el teniente coróñél graduado de realistas de este punto D. Tomas Díaz y su alférez D. Mariano Estrada no me dejaron que apetecer, visto su arrojo y de nuedo con que envolvieron la gavilla, sin darles lugar á ordenarse y hacer uso</t>
  </si>
  <si>
    <t>Estrada, Miguel Duque de</t>
  </si>
  <si>
    <t>Miguel Duque de Estrada</t>
  </si>
  <si>
    <t>…manifiesto al público por tres días las obras premiadas, 6 igual mente varias manufacturas que se elaboraron por los discípulos de la casa de Beneficencia. Madrid 23 de Diciembre. D. Miguel Duque de Estrada, capitán de milicias, y comisionado por la provincia de Tabasco para cumplimentar á S. M., dijo al Rey nuestro Señor el 26 de Noviembre próximo pasado la arenga siguiente: ,,Señor: La provincia de Tabasco me ha honrado con el encargo de felici tar á V. M. por…</t>
  </si>
  <si>
    <t>Estruch, Pascual</t>
  </si>
  <si>
    <t>Pascual Estruch</t>
  </si>
  <si>
    <t>…onchel á IX Juan Castillejo Navalon : para ia de Javaiquinro á IX Juan Ramón de Ibarra : para él corregimiento de Sétenil á D. Eufemia no María de Estrelle ra: para el de Zahara á D. Pascual Estruch; y para eFde-Beceta á D. Fran cisco de Paula Perez Rangel. Por Real orden de 26 de Enero de este año ha tenido á bien S. M. man* dar se saquen á oposición una de las cátedras de matemáticas y la de lengua francesa, que se hallan vacantes en su Real casa de ca…</t>
  </si>
  <si>
    <t>Eu</t>
  </si>
  <si>
    <t>…ue se creía, no se había podido determinar con exactitud hasta ahora. Madrid 24 de Abril. A R T I C U L O D E OFICIO. El Rey nuestro Señor se ha servido conceder su Real permiso á D. Eu genio Aviraneta, comisionado del Crédito publico en la villa de Aranda de Duero, para que pueda usar de la condecoración de la flor de Lis con que le ha condecorado S. M. Cristianísima. El Real y supremo Consejo dé Castilla, á propuesta de la Excma. jurnai de…</t>
  </si>
  <si>
    <t>Eúchan</t>
  </si>
  <si>
    <t>339</t>
  </si>
  <si>
    <t>…s mares del poloi Db$ de dichos'buqués ;■&amp; las órdetiéS» dél capitán Ross , habrán dé buscar él páso'por et estrecho de Dávis y laba-* hía de Baffin, y los ótros dos, al mando del.capitán Eúchan, deberán diri-‘ girse rectamente al polo por elmar de Spitzberg. „ Algunos escritores ingleses sé entregan ya á las mas lisonjeras ilusiones,, frnáginándóseála antigua Groenlandia libré ya'dfe lá balríérade hielos qu£la¿ Hacían impenetrable, viendo támbienL a…</t>
  </si>
  <si>
    <t>Eufemia</t>
  </si>
  <si>
    <t>…e. Constantina a D. Josef López Requena : para la de Alconchel á IX Juan Castillejo Navalon : para ia de Javaiquinro á IX Juan Ramón de Ibarra : para él corregimiento de Sétenil á D. Eufemia no María de Estrelle ra: para el de Zahara á D. Pascual Estruch; y para eFde-Beceta á D. Fran cisco de Paula Perez Rangel. Por Real orden de 26 de Enero de este año ha tenido á bien S. M. man* dar se saquen á oposición una de las cátedras de matemáticas y la…</t>
  </si>
  <si>
    <t>Eugenio</t>
  </si>
  <si>
    <t>…dar á V. E.; el valor y resolución de la oficialidad y tropa de mi mando, y con particularidad del mérito, valor y* conocimientos militares del comandante del batallón de la Reina D. Eugenio . Ajana , del ayudante mayor de dicho, cuerpo D. Manuel de Ucar, el valor é , ~ w&gt;* • ” •</t>
  </si>
  <si>
    <t>Euriense</t>
  </si>
  <si>
    <t>…con gregación de S. Vicente de Paul y dos italianos franciscanos: 18 sacerdotes del pais: unos 35® cristianos: religión cristiana prohibida: vicario apostólico D. Fr. Joaquín N., obispo Euriense. Tunkin orientai.. JLa mitad del reino hacía el oriente: un obispo con su coadjutor y cinco misioneros dominicos españoles (8): 66 sacerdotes del pais: unos 190® cristianos: religión cristiana tolerada: vicario apostólico Don Fr. Ignacio Delgado, obispo de Me…</t>
  </si>
  <si>
    <t>EX, Josef Andrés de JáureguL.y</t>
  </si>
  <si>
    <t>Josef Andrés de JáureguL.y EX</t>
  </si>
  <si>
    <t>…superior y debido conocimiento de V, E. cpn Ips partes originales de las operaciones .que de mi orden han practicado v me han dirigido el. teniente coronel de milicias de Tampico D. Josef Andrés de JáureguL.y EX. Pedro Blasco* ' capitan.de¿ las de Tuxpan, qtíe manda el punto mili-? tlí.de Mbuéliteiiip n.birmrj ^ osniTíccúii t l» . ¿;: ,v¡&gt; Usisl ,, Los felices resultados de estas operaciones son debidos al plan que para ellas se ha servido?adoptar la superioridad dó…</t>
  </si>
  <si>
    <t>Exarque, Joaquín</t>
  </si>
  <si>
    <t>Joaquín Exarque</t>
  </si>
  <si>
    <t>…ne ciada noticia; y en su virtud, habiéndolos examina do los directores, y hecha la debida graduación, resultaron premiados en el dibujo dé estatúas D. Tófibio Lához; en el modelo D. Joaquín Exarque; en el dibujo de academias de figuras D. Joaquín Planillo; en el de cabezas DonEduardo* Vicente, D. Josef Sotero de Izaguirre,D. Mariano Larralde y Don Josef Santos; porque aunque no se ofreció sino una medalla, los directores los juzgaron dignos de esta reco…</t>
  </si>
  <si>
    <t>Excmo</t>
  </si>
  <si>
    <t>…no de la atención deV. E. „Dios guarde á V. E. muchos años. Bejar Junio 23 de 18ly.z^Excelentísimo Sr. = Antonio Martínez. = Excmo. Sr. virey D. Juan Ruiz de Apo«* daca.” El mismo Sr. Excmo. ha mandado se den las gracias en nombre de S. M:. á este benemérito gefe, oficiales y tropa, recompensando su mérito y este importante servicio con el grado de coronel de egército al expresado gefe Martinez, y el inmediato en su clase al teniente veterano D.…</t>
  </si>
  <si>
    <t>…e la muralla el subterráneo estruendo de la mul titud de barrenos que se disparaban de día, y aun los que tenían lugar du rante la noche debería incomodarlos mas; pero sobre todo ,Sr. Excmo., lo que oblig ó mucho á los bandidos á dejar su madriguera, y emprender una fuga vergonzosa , que tan cara les ha costado, ha sido sin disputa el mucho daño que les ha causado una batería de un obús y un cañón que mandé situar á tiro de fusil ai sur de la fo…</t>
  </si>
  <si>
    <t>666</t>
  </si>
  <si>
    <t>…gué á que me los entregasen presos, y asi los mantengo, porque han sido los que mas se opu sieron á mis afanes para reducir á los otros á la razón y que se arrepintiesen. Este es, Sr. Excmo., el fruto de cerca de tres meses del mas estrecho y pe noso sitio, y de tan bizarro y expuesto asalto , que solo una contingencia pu do malograr; teniendo la satisfacción de que en todo él nadie ha entrado ni salido del fuerte sino los que me han presentado.…</t>
  </si>
  <si>
    <t>9¿&gt;9 tregásén presós, y asi ios mantengo porque han sido los quemas sé opusieron á mis afanes para reducir á los otros á la razón, y que se arrepintiesen. „ Este es , Sr. Excmo., el fruto de cerca de tres meses del mas estrecho y penoso sitio, y de un bizarro y expuesto asalto, que solo una contingencia pudo malograr} teniendo la satisfacción de que en todo él nadie ha entrado ni salido del fuerte sino los que se me han presentado.…</t>
  </si>
  <si>
    <t>Exento</t>
  </si>
  <si>
    <t>522</t>
  </si>
  <si>
    <t>…sto el cureñage, haciendo una de ellas nueva, todo sin separarlas de los puntos en que estaban colocadas, y aun.faltándoles parte de la herramienta necesaria. . » ,,Supuesto.pues, Sr. Exento., que todos los cuerpos de infantería, caba llería y la .artillería de la división de mi mando son acreditados entusiastas por la defensa de los derechos del Rey., que se han disputado unos á otrais la gloria de combatir en cuantas ocasiones se les han presen…</t>
  </si>
  <si>
    <t>Exmouth</t>
  </si>
  <si>
    <t>…de la patria: que ya conocían los ar gelinos que sus fatales guerras contra los tunecinos les habían acarreado la venganza del profeta (haciendo alusión al bombardeo de Argel por lord Exmouth), y que de consiguiente para expiar sus faltas, y aplacar la cólera de Mahoma, habian determinado venir los primeros á proponer la paz, renun ciando* á sus antiguas pretensiones. Esta arenga, pronunciada por un venerable y anciano musulmán, hizo una profunda…</t>
  </si>
  <si>
    <t>…erra inglesas, cuyo comandante le intimo qué si no reparaba los daños injustamente causados, se expondría á‘ una venganza mas diira todavía’que la qüe últimáinente habiá tomado el lord Exmouth. En virtud de. esto se coiivinó'lé regencia en pdgdr f óóí^ rsApót* el barco sardo que había sido apresado contra el tratador de i 816, y otros 500® por; razoii de dote a cada una dé las dos inOzas qué el 'anterior Déyhabia necho cautivar, de las cuales la un…</t>
  </si>
  <si>
    <t>Ezquerra, Fulgencio</t>
  </si>
  <si>
    <t>Fulgencio Ezquerra</t>
  </si>
  <si>
    <t>…corte, refrendada dé D. Carlos Rodríguez de Mo ya, escribano de provincia, se cita, llama y emplaza á los que se presuman ser acreedores á los bienes quedados por fallecimiento de D. Fulgencio Ezquerra, ve-i-ciño y del comercio que fue de esta corte, para que en el término de 15 dias, con tados desde esta publicación, acudan ante dicho señor y por ia citada escribanía^ deducir las acciones y derechos que les convenga; apercibidos que pasado dicHó tér mino s…</t>
  </si>
  <si>
    <t>F, Josef</t>
  </si>
  <si>
    <t>Josef F</t>
  </si>
  <si>
    <t>…. para su satisfacción , y que vea estáabierto .el camino de este á ése pueblo, &gt; -d t . ,, Dios guarde á V. S. muchos años. Nautla Enero 17 de 1818. =;Pedrq Antonio. Blasco.=:Sr. coronel D. Josef F rancés Henriquez.” S. E. ha mandado dar las gracias á este comandante en nombre áei Rey nuestro Señor por este servicio , y adamas ha concedido el grado de teniente fcn *só cíase a1! alfétez D. Josef Oowley que viene recomendado." ‘k " -• DERROTA DE LA.GAVILL…</t>
  </si>
  <si>
    <t>Facón, Juan</t>
  </si>
  <si>
    <t>Juan Facón</t>
  </si>
  <si>
    <t>…compone dé 12 füsilés con otras tantas cananas y 30- machetes.' Campamento.en la sierra de Tepecíntla 29 de Enero dé 1818. = Gárlós Ma~ fía Llofénté. Sakagtín 13 de Agosto. El Dr. D. Juan Facón, abogado de los Reales consejos, corregidor y cá“ pitan á guerra por S&gt;. M. de ésta viliá de Sahagun, y su ilustré ayuntamiento, árá dar uña pruéba dé su zelo é ínteres en los progresos de la instrucción -púliéa, dispuso Celebrar éxámenés de lós niños que'est…</t>
  </si>
  <si>
    <t>Factor, Manuel</t>
  </si>
  <si>
    <t>Manuel Factor</t>
  </si>
  <si>
    <t>…comprenden los muertos en los ataques y salidas que emprendieron, y fueron 31. ; ,,Por nuestra parre ha habido la sensible pérdida del teniente coronel del regimiento de Zaragoza D. Manuel Factor , el comandante del primer ba tallón de dicho cuerpo D. Gabriel Rivas, con 4 oficiales, un oficial y un ca-; dete muertos del batallón de Navarra, y otro oficial del regimiento de Toluca, y heridos 22 oficiales de varios cuerpo^, entre ellos algunos de mucha…</t>
  </si>
  <si>
    <t>Facundo</t>
  </si>
  <si>
    <t>…nada en la Real y distinguida orden española de Carlos m. Por Real resolucion de 4 del presente mes, á consulta del Conseja su' premo de la Guerra, se ha servido S. M. conceder á D. Facundo puado, practicante segundo de cirugía que fue en la ultima guerra, y que actualmen te se halla en Velez Blanco, el fuero militar y uso de uniforme de la clase en que sirvió, y le corresponde'como CornprendidA eñ el artículo i.° de la cir cular de 19 de Junio…</t>
  </si>
  <si>
    <t>Fadriqüé</t>
  </si>
  <si>
    <t>…6,768.. 3 2. . Arenas de S. Juan.......... 846.. 4. ArgamaSríla de Alba..... 2,538..12, Villarta.................... . 2.115.. 10. Osa dé MontjeL..«...'••• 1,269.. 6, ' Puebla de D. Fadriqüé. 4.653.. 22. V i lia robledo................ 11,421..20. 4.230.. 20. Socuéllamos................. 3,807. .18. Villa nueva de Bogas,.... 423.. 2. Las Mesas..... ................... 1,692.. 8. Villaminaya.................... 1.269.. &amp; El Proveído.......... ....…</t>
  </si>
  <si>
    <t>Fageli</t>
  </si>
  <si>
    <t>…e Osmond, el conde y la condesa de Lieven, lord Stá. Elena, marques y marquesa de Sta fiord, conde y condesa de Munster, Príncipe Estérhaai j viaíeonde y vizcondesa €astteretign-, barón Fageli, baroor Humookít, y sír Benjamín Bloomfield, todos VéStídoádá gala. El Príncipe Regente renta á su derecha á kduquesa deS. Garlos-, y i lá izquierda á la condesa de Lieven: al fin de la comida brindó S. A. R. por la salud del Rey de España, y el duque de S. C…</t>
  </si>
  <si>
    <t>Faísonla</t>
  </si>
  <si>
    <t>…o en cambio proporcionan ocupación á otras muchas, y el bajá surte con sus remesas á varias plazas de Europa. Ulti mamente lia- expedido á Portugal el buque llamado la Bella Nina, capitán Faísonla., al que seguirán otros varios: también ha hecho temesas de efectos á Suecia, y provee á Gonstantinopla de arroz y otros comestibles. Ademas de.</t>
  </si>
  <si>
    <t>Fajardo, Alfonso Mateos</t>
  </si>
  <si>
    <t>Alfonso Mateos Fajardo</t>
  </si>
  <si>
    <t>…pendientes au tos entre partes, de la una el señor fiscal por el dere.cKo.de la Real Hacienda,' y de la otra D. Fernando Joaquín Navarro Balboa Zayas, Doña Clara Navarro Balboa,1 D. Alfonso Mateos Fajardo, Doña Isabel An^ Alvarez y Montes, viuda que fue de D. Fernando Navarro Balboa, por sí y en nombre de su hijo menor D. Josef Trini4 dad Navarro Balboa y Doña María Ana Ducarne, viuda de D. Josef Navarro Balboa! como madre y tutora, y sus cuatro hijos de menor…</t>
  </si>
  <si>
    <t>Falck</t>
  </si>
  <si>
    <t>…os autorizo para que podáis publicar este decre to. = Berlín 21 de Mayo de 1818. = Federico Guillelmo” PAISES-B A JOS-UNI DOS. Amsterdam 4 de Junio. Esta mañana ha llegado aqui el ministro Falck. Los directores del comercio de Levante y de la navegación del Mediterrá neo acaban de publicar la nota siguiente, que han recibido del encargado de Negocios de S. M. en Constantínopla. ,,E1 Excmo. Sr. barón Strogonoff ha dado orden á la cancellería imperial…</t>
  </si>
  <si>
    <t>Falcon, Remigio</t>
  </si>
  <si>
    <t>Remigio Falcon</t>
  </si>
  <si>
    <t>…ovincias de Cataluña al teniente general D. Carlos Es paña , y de Guipúzcoa al de la misma clase duque de Granada de Ega: pa ra la sargentía mayor de la plaza de Denia al teniente coronel D. Remigio Falcon, capitán agregado al batallón ligero primero de Voluntarios de Araon ; y para las ayudantías de Tarifa, Cádiz y Sta. Isabel de los Pasages á &gt;. Ildefonso de la Cruz, teniente del regimiento de infantería de Extremaduf ra , al teniente coronel D. Andrés Caamañ…</t>
  </si>
  <si>
    <t>FalcoW'er</t>
  </si>
  <si>
    <t>…otra accioñ reñida no lejos de Ponah. En una yotra batalla se dorxamó mucha sangre: te! capitán Pranton , del regimiento europeo de Bombay, fue gravemente he rido, como también el teniente FalcoW'er, del regimiento de infantería nació-* nal de Bombay. Dos hermanos llamados Vaughan, que quedaron prisioneros en la primera acción, fueron conducidos á fPonah y arcabuceados. Después de la segunda batalla se rindió Ponah,y el peishwa huyó con Dainglia y su egé…</t>
  </si>
  <si>
    <t>Falla</t>
  </si>
  <si>
    <t>…mas á la media hora volvieron á dar otra fuerte car ga; pero con la misma furia que lo verificaron fueron rechazados &gt; según avi so que inmediatamente me dio el expresado teniente coronel Falla. „ Después de las $ de la mañana dió parte el vigía de que los bandidos se retiraban : en el momento hice salir el escuadroo de Querétaro con su coman dante D. Manuel Rubio, y el del Príncipe á las órdenes de su capitán Don Pedro Otaño, con el objeto de que h…</t>
  </si>
  <si>
    <t>Falla, Francisco</t>
  </si>
  <si>
    <t>Francisco Falla</t>
  </si>
  <si>
    <t>…que rompió la guardia de prevención de mi cuartel, me dirigí á la plaza; y haciendo formar á la tropa con la ve locidad del rayó, mandé marchar al fortín de S. Antonio al teniente coronel D. Francisco Falla, comandante militar de esta villa, y los realistas de ella con un cañón;'al rastrillo de Silao con la mitad de la compañía de cazado res de Toluca y otro canon, al teniente de ella, graduado de capitán, Don Josef Gil Tabeada; y al de Lagos cpn media compañía…</t>
  </si>
  <si>
    <t>…odos puntos fueron completa mente rechazados con mucha pérdida. „A las 4 de la mañana calmó la acción; y hallándome bastante agrava do por la herida, entregué el mando al teniente coronel D. Francisco Falla, y me retiré á mi casa: mas á la media hora volvieron á dar otra fuerte car ga; pero con la misma furia que lo verificaron fueron rechazados &gt; según avi so que inmediatamente me dio el expresado teniente coronel Falla. „ Después de las $ de la mañana dió part…</t>
  </si>
  <si>
    <t>Falla, Francisco de</t>
  </si>
  <si>
    <t>Francisco de Falla</t>
  </si>
  <si>
    <t>…partes de Nueva-España. PROVINCIA DE GXJANAXÜATO. Oficio del coronel y comandante general D. Antonio de linares. „ i.° , ,,Excmo. Sr.^ ELcomandante militar de esta villa teniente coronel Don Francisco de Falla me ha dirigido dos partes sobre las dos expediciones que ha hecho el agraciado Pío González con la partida de su cargo hácia los pue blos del Rincón y ranchos de la Venta y S. Germán, en cuyas correrías lo gró aprehender 5 rebeldes, entre ellos un capítan, y…</t>
  </si>
  <si>
    <t>Falomir, Juan</t>
  </si>
  <si>
    <t>Juan Falomir</t>
  </si>
  <si>
    <t>…infantería de la Union, jóvenes que se habian señalado en las accio nes anteriores y en toda la campaña por su extraordinaria bizarría. Tambieti fue herido de gravedad el teniente coronel D. Juan Falomir, capitán de lá compañía de cazadores del regimiento de Granada. „En las baterías y fuertes que se cogieron quedaron en nuestro poder 8 cañones de diferentes calibres, y las municiones y efectos de guerra que cons tan de la adjunta relación. También nos apoder…</t>
  </si>
  <si>
    <t>Farias, Josef María</t>
  </si>
  <si>
    <t>Josef María Farias</t>
  </si>
  <si>
    <t>…Fue mucho el valor de esta tropa, la que se portó con la mayor bi zarría; pero sobresalieron el alférez D. Josef María de Ursua, sargento de Colima Bernardo González, distinguido D. Josef María Farias, sargento y cabos de este piquete, singularizándose el capitán Pedro Alonso con toda su compañía de indios, pues se manifestó con el mejor zelo en la defensa: lo mismo el sargento de realistas Carmen Chacón, el cabo Máximo Perez y. todos, en fin, son muy dign…</t>
  </si>
  <si>
    <t>Farias, Trinidad</t>
  </si>
  <si>
    <t>Trinidad Farias</t>
  </si>
  <si>
    <t>1125</t>
  </si>
  <si>
    <t>…tinuas tuvieron tres reencuentros, en que perdieron los enemigos mucha gen te; allí recibió Quero otro balazo dentro de Ja amaca en que le conducían, y allí murieron los capitanes D. Trinidad Farias y D. Ramón de Jesús Calvo. La noche puso fin á tan repetidos choques, y los que no pudieron salvarse en la espesura de los matorrales quedaron prisioneros. Enfurecido y desesperado</t>
  </si>
  <si>
    <t>Farjas, Felipe</t>
  </si>
  <si>
    <t>Felipe Farjas</t>
  </si>
  <si>
    <t>…do .cada ,uno un héroe ; pero en particular debo recomendar á V. E. por el mérito que contrajeron por sus disposiciones los tenientes coroneles gra duados comandantes de escuadrón D. Felipe Farjas y D. Josef Martínez; los capitanes D. Juan Sánchez, D- Basilip Castillo, D. Ignacio Pino, D. Regino Landaeta y D. Juan Bautista Urrutia. El capitán D. JuliánJNiéves, y el te niente de S. Francisco de Tisnádos con su valiente escuadrón se Excedieron á ¿uantq puede, exagerarse, co…</t>
  </si>
  <si>
    <t>Fatio, Felipe</t>
  </si>
  <si>
    <t>Felipe Fatio</t>
  </si>
  <si>
    <t>…que de Real orden comunico á V. para su puntual cumplimiento en la parte que le toca. Dios guarde á V. muchos años. Ma drid 3 de Julio de 1818. El cónsul de S. M. en Nueva-Orleans D. Felipe Fatio ha remitido con fecha de 1.° de Mayo último al Excmo. Sr. primer Secretario de Estado y del Despacho copia de una gaceta extraordinaria del gobierno de México de ii de Marzo de este año, que .contiene la rendición del fuerte de Xaujilia, último punto fortific…</t>
  </si>
  <si>
    <t>Faustino</t>
  </si>
  <si>
    <t>…Tomás Bueno por leer; á D. Juan Arenaxa por escribir; á D. Pablo de Argote por aritmética; á D. Julián Gamarra por ortografía y gramática castellana; á D. Venancio de $agarnaga y Don Faustino ae Ampuaia por buena conducta; á D. Josef de Puente en la clase de menores y demas rudimentos; á D. Juan Guzman en la de medianos, y á Don Liborio ae Otazu, por haber salido en suerte con otros, por la aplicación y Jbuena conducta, con lo cual se concluyo el…</t>
  </si>
  <si>
    <t>Federic, Francisco</t>
  </si>
  <si>
    <t>Francisco Federic</t>
  </si>
  <si>
    <t>…la isla de Cabrera: eh dcCap-de-per^ la-misma isla, al. teniente-"D. Nicolás Solís, ayudante del propio .castillo; ¡a sargentía ma yor de la plaza de Alicante^al teniente.corooej D. Francisco Federic , ca* pitan del regimiento infantería fijo de Ceuta: la ayudantía primera de la de Ceuta al capitán D. Miguel Ibañéz, ayudante segundo de la misma; y la segunda de la Coruña á O. Antonio López , subteniente del regimiento de in fantería de Zamor?. • 7- «-•••…</t>
  </si>
  <si>
    <t>Federico</t>
  </si>
  <si>
    <t>…celona. Solo consta que en ío de Agosto de 1806 otorgó poder en esta cor¿» te á favor de D. Francisco Gohelet, coronel de caballería agregrado á esta plaza , y de sus dos hermanos D. Federico y D. Felipe Fons, furriel ei uno de ia primera bri gada de la compañía Flamenca, y el otro guardia de la misma. También consta que salieron de tenientes en 23 de Agosto de 1807, el primero del regimiento de in fantería de Toledo, el segundo del de España, y otro hermano llama…</t>
  </si>
  <si>
    <t>Federico, Félix de</t>
  </si>
  <si>
    <t>Félix de Federico</t>
  </si>
  <si>
    <t>alumnos bachilleres D. Félix de Federico, D. Casimiro Herrezuelo, D. Ma riano Gil Portillo, D. Mariano Josef González Crespo, D. Manuel Izcaray, D. Gonzalo López de la Torré, D. Josef María Rasco, D. Genaro González* D. Juan María Quevedo, D. Pedro Suarez, D. Antonio Tenllado Henriquez y el doctor e…</t>
  </si>
  <si>
    <t>Feischel, Gabriel</t>
  </si>
  <si>
    <t>Gabriel Feischel</t>
  </si>
  <si>
    <t>…dados: Cadagues, 1 oficial , 2 sargentos , ‘30 cabosy soldados: Selva del Mar, un oficial, 2 sargentos, 30 cabos y soldados: Llansá, 1 oficial, 2 sar gentos, 30 cabos y soldados : D. Gabriel Feischel, capitán de cazadores de Barbastro,, inspector de estas partidas í D. Pedro Noíasco Bassa, comandan-** te agregado al regimiento de, infantería de Guadalajara, gefe de estos distritos: D. Andrés de Bassecourt, capitán del segnndo regimiento de Reales Guar dia…</t>
  </si>
  <si>
    <t>Felipe</t>
  </si>
  <si>
    <t>…sin incurrir en las penas determinadas por las leyes; se ve con harto sentimiento suyo en la: precisión dehacer saber: i.° que los titulados cirujanos latinos desde el tiem po del Sr. Felipe n y cirujano-médicos desde la creación de los colegios dé cirugía son una misma cosa, sin otras facultades que para egercer todas las' partes y operaciones de su arte, y las de prescribir remedios externos é in ternos en las enfermedades mixtas que sean produ…</t>
  </si>
  <si>
    <t>…unas reflexiones sobre el derecho natural; el discurso pronunciado en la instalación de la Real audiencia de Extremadura; una instrucción secreta del emperador Carlos v á su hijo D. Felipe 11; una memoria de las cosas mas curiosas que hubo en el tem plo de Salomón; una noticia histórica sobre D. Diego Hurtado de Mendoza, y dos noticias sobre canales de España. Las suscripciones continúan recibiéndose en Madrid en la referida librería de Perez p…</t>
  </si>
  <si>
    <t>Felipe-Par</t>
  </si>
  <si>
    <t>…erpo, cuando volvió su atención al las timoso estado del colegio, que tantos beneficios había hecho á toda la provin cia, y nombró por rector y administrador de él ;ál presbítero' D. Felipe-Par do y García, prebendado ae esta santa iglesia catedral. Este digno eclesiásti co se dedicó con el mayor zelo á satisfacer los piadosos deseos del ayunta miento en la restauración de aquella casa, que ya casi no existía ni aun en nombre; y en el cortó espacio…</t>
  </si>
  <si>
    <t>Félix</t>
  </si>
  <si>
    <t>…ho llevar arrestado á bordo de la corbeta á un particular residente en aquella ciudad como desertor de la marina inglesa, según su propia confesión, los jueces mandaron prender al capitán Félix, y su buque no pudo pasar de lante del fuerte, cuyos cañones estaban preparados para disparar contra él. El capitán protestó contra esta conducta, soltó al que tenia preso, y ha de jado la discusión ulterior del asunto á los Gobiernos respectivos. Según los m…</t>
  </si>
  <si>
    <t>…on la denominación de conde del Venadito. Asimismo se ha servido S. M. conceder título de Castilla, con el dictado de conde de Calderón al teniente general de los Reales egércitos D. Félix, María Calleja, virey que fue de Nueva-Empaña, en atención á sus distinguí-, dos servicios. &lt; Igualmente sé ha dignado S. M. conceder título de Castilla áD. Angel Bustamante, minero de Batopilas en la Nueva-Vizcaya, en recompensa de su lealtad y particulares…</t>
  </si>
  <si>
    <t>…D. Joaquín Virues. 3.° El primer distrito se subdividirá en .los cantones siguientes: el de San Roque , que comprehderá desde el Guadiaro&gt; hasta el rio Palmones, lo man dará : el brigadier D. Félix. Prat: el de Algeciras, desde aquel rio hasta el Gualniesí, será del cargo del brigadier D. híanuel Mirallas; y el de Tarifa, comprendido entre Gualmesí y Barbate, estará á las órdenes del brigadier D. Manuel Davan. 4.0 El segundo sé distribuirá en tres canto…</t>
  </si>
  <si>
    <t>Fer</t>
  </si>
  <si>
    <t>…en la de Roma, México y otras ciudades, en que será inmortal la fama de su autor, pues por ellas siempre tuvo el con cepto de SS. M\l. los Sres. Reyes D. Carlos m, D. Carlos iv y D. Fer nando vii, que gloriosamente reina, y de todos los profesores de las bellas artes. Todo lo que unido á sus muchas virtudes hacen mas sensible su pérdi da ; y debe su nombre recordarse como el de uno de los mejores profesores de pintura que ha tenido la España…</t>
  </si>
  <si>
    <t>…mo y emplazo á las per sonas expresadas, ó a sus herederos y sucesores, como también ,á todas las demás que pretendan tener derecho á los bienes de la testamentaría del mencionada D. Fer2iando de Herrera Carreto, para que. en el término de 30 .dias siguientes al de su anuncio acudan 4 este mi juzgado y citada escribanía á acreditar su derecho á los mencionados bienes, y evacuar el traslado de la liquidación,cuenta y partición egecutada de ell…</t>
  </si>
  <si>
    <t>…perjuicios incalculables á la causa pú blica, como lo confesó el mismo Consejo en consulta que elevó al Rey Don Carlos ii en. 1699. Movido de estas- justas consideraciones el Rey D. Fer nando vi quiso exonerarle del Conocimiento de todos los asuntos gubernati vos y contenciosos pertenecientes á pósitos; y con el Qbjeto de tener por un conducto inmediato noticia pronta y exacta de los adelantamientos de dicho ramo, y dictar las providencias c…</t>
  </si>
  <si>
    <t>…E 1818. BRASIL. Rio- Janeiro 20 de Febrero. Se han presentado en esta corte al enviado español conde de Casa-Flores* con objeto de reconocer la autoridad del Soberano de España el Sr. D. Fer nando vii , y poder pasar á. obtener el indulto del virey del Perú, los sugetos qoe expresa la siguiente lista, y que habiendo seguido el partido de Iot insurgentes en las provincias de Sta. Cruz de la Sierra, Chiquitos y Charcas, se encaminaron á esta capita…</t>
  </si>
  <si>
    <t>…D* Francisco de Batlle y de Marimon, oidor que fue de la audiencia de Extremadura , y á D. Ramón Macla de Lleopart. Para el corregimiento de Trujillo se ha servido nombrar S» M. á D. Fer nando María López de Sagredo, alcalde mayor dé Ronda; para esta vara á J&gt;. Juan María' de la Terfe-*-electo alcalde mayor de Zaragoza; para esta á D. Gregorio Barraicoa, alcalde mayor de.Ocaña ; para el corregimiento de A randa de Duero á D^ Francisco Mafia-S…</t>
  </si>
  <si>
    <t>…cual los siete niños pobres y los dos de paga premiados en cada una de las 62 escuelas recibieron de mano de S. M. los premios á que se habían hecho acreedores, y los dos pasantes D. Fer nando Algora y D. Juan Pendaries los títulos de maestros. Ultimamente habiendo ofrecido la junta un premio de 320 rs. al maestro de las seis úocho diputaciones que comprende cada uno de los diez cuarteles de Madrid que presentase lós niños mejor educados, y e…</t>
  </si>
  <si>
    <t>Fer, Antonio</t>
  </si>
  <si>
    <t>Antonio Fer</t>
  </si>
  <si>
    <t>…Narciso Ár'espacochaga y Bertendona; D. Josef XJrbina y Daoiz ; D. Josef Sola y del Castillo ; D. Pedro Villar y Abello \ Don Diego Fernandez Carcelen; D. Antonio Lardin y Pinto; D. Antonio Fer* nandez Carcelen; D. Francisco Osorio y Bernal; D. Manuel Marín y Ra mos; D. Juan López y Martínez, y D. Mariano dé la Vega y Romero. Quien quisiere comprar una casa sita eñ el lugar de Fuencarral, y calle que lia— man dé'Juan Pardo , que tiene de sitio *887^…</t>
  </si>
  <si>
    <t>Fer, Josef</t>
  </si>
  <si>
    <t>Josef Fer</t>
  </si>
  <si>
    <t>…ermiso que S. M. le concede para usar la condecoración de la flor de Lis con que $• M. Cristianísima se ha dignado honrarle. El mayor general del apostadero de Marina en la Havana D. Josef Fer nandez de lar Peñas en oficio de 9 de Enero del corriente año da parte del naufragio de la goleta española nombrada Rosa, acaecido el 30 de Octubre de 1817 en el gran banco de Bahama sobre un arrecife al E. y S. del pe queño Isaac, poco conocido hasta ahora.…</t>
  </si>
  <si>
    <t>Fer, Pedro</t>
  </si>
  <si>
    <t>Pedro Fer</t>
  </si>
  <si>
    <t>…e...................... 1,277....... Continuación de tas estampas que se hallan de venta en la calcografía de la im prenta Real, zn En medio pliego de marca mayor. =: Cuaderno 18. D. Pedro Fer nandez de Vélascó, Juan Sebastian de Eícaho, Fr. Melchor Cano, el P. Alfonso Salmerón, D. Bérnaido de Valbuéna^ y D.FelipeGil de Taboada. Cada cuaderno dé seis retratos con el epítome dé su, vida , 50 rs.: cada retrato suelto á 8 rs. Por providencia dél Sr. D…</t>
  </si>
  <si>
    <t>Ferait, Cayetano</t>
  </si>
  <si>
    <t>Cayetano Ferait</t>
  </si>
  <si>
    <t>…s «on otro, de lo que. debe resultar Jma extremada precisión en las observacio nes para la medida de ingalos. Este instrumento, que acaba de construir nues tro distinguido artista D. Cayetano Ferait, facilitará importantes auxilios á las operaciones matemáticas. Por fin, cuando estaba meditando nuevos me dios de ser útil á sus semejantes, le atacó una dolencia de languidez y con sunción que puso fio á su vida en Alelí a á vo de Abril del presente año. Su…</t>
  </si>
  <si>
    <t>Ferez, Manuel Damian</t>
  </si>
  <si>
    <t>Manuel Damian Ferez</t>
  </si>
  <si>
    <t>…haber ganado curso. Para hacer la correspon diente matrícula, antes de dar principio á las lecciones, deberán los discípu los presentarse al secretario del Real estudio de Clínica D. Manuel Damian Ferez en los dias 8 y 9 de Abril, desde las 10 de la mañana hasta las dos de la tarde.</t>
  </si>
  <si>
    <t>Fernakdo</t>
  </si>
  <si>
    <t>…, hq o,; - . ... . '”'i . f . í Confirmación de la prisión del traidor Miña ‘, y fin de lafití^ksipn aerifi cada por este y sus secuaces contra' estas fidelísimos1 del Rey nuestro Señor D. Fernakdo vil, en Soto la Marina, el dia 24 de Abril del presente año. , . r, , ■ . &gt; ¡ Parte del coronel D. Francisco de Orrantía. .„Excmo. Sr.: Con la mayor satisfacción participo á V. Jif:haber hecho prisionero á las siete de este dia al traidor Mina:en compañía de…</t>
  </si>
  <si>
    <t>Fernan, Diego Aífaro</t>
  </si>
  <si>
    <t>Diego Aífaro Fernan</t>
  </si>
  <si>
    <t>…con la citada Real cédula á las justicias de los pueblos de sq ter ritorio; dándome aviso de sq recibo. Madrid 21 de Febrero de 1818. Con fecha de 4 del pasado se ha comunicado á D. Diego Aífaro Fernan dez de Aguilár, vecino de Granada , el Real permiso que S. M. le concede para usar la condecoración de la flor de Lis con que $• M. Cristianísima se ha dignado honrarle. El mayor general del apostadero de Marina en la Havana D. Josef Fer nandez de lar Peñas e…</t>
  </si>
  <si>
    <t>Fernan, Domingo</t>
  </si>
  <si>
    <t>Domingo Fernan</t>
  </si>
  <si>
    <t>…elas gratuitas de¡¡esta capital el dia 7 y. siguientes hasta el 16 inclusive del mes próximo’ pasado eri las casas dé Ayunf-I tamieríto de la misma. El primer día abrió el acto el Sr. D. Domingo Fernan dez de Campománes, presidente de la junta, con un breve discurso; y en se guida' se presentaron á exámenes los niños de una de las escuelas, y sucesiva-mente &gt;lós de las restantes , todos los cuales fueron examinados en doctrina cristiana', én leerRescribir;•…</t>
  </si>
  <si>
    <t>Fernande, Lorenzo</t>
  </si>
  <si>
    <t>Lorenzo Fernande</t>
  </si>
  <si>
    <t>…Manrique, se cita, llanta y emplaza por término de 15 dias, que por segundo se les concede desde el de su anuncio en la gaceta y diario de esta corte, á D. Manuel Saenz del Prado, D. Lorenzo Fernande^de León, D. Juan Lorenzo Sánchez Cueto, D. Luis Franco, Doña Librada Perez Escovar, D. Joa quín Antonio Román, los Sres. Alzueta y Beratarrechea, D. Rafael Rodríguez, D. Juan de Dios Elias, los Sres. Bohe, hermanos y compañía, D. Mariano de Urbieta, D. Josef…</t>
  </si>
  <si>
    <t>Fernandez, Andrés</t>
  </si>
  <si>
    <t>Andrés Fernandez</t>
  </si>
  <si>
    <t>…eblos y 40.repúblicas de indios»1' Por fallecimiento de D. Josef Mariano.Beristaín, deán de la iglesia, me tropolitana de México, sé ha servido S. M. nombrar para dicha dignidad £ D. Andrés Fernandez de la Madrid , tesorero de la misma santa iglesia; para esta dignidad á D. Nicasio Labarta, capellán mayor de las carmelitas des-calzas de México : para una canongía de la iglesia catedral de Arequipa , va cante por. promoción del Dr. D. Josef Sebastian de Go…</t>
  </si>
  <si>
    <t>…ria suya y honor de las armas del Rey nuestro Señor: solo rae resta manifestar á V. S. la sobresaliente conducta que han observado eí capitán graduado cié cabal Ierra de Tesiutlan D. Andrés Fernandez de la Ara da, los subtenientes de infantería D. Mariano Bravo, de Zacapoaxtla, Don» Pedro González, de Altoronga-, y D. Josef Martínez, de Tesiutl'an , y el ca pitán nombrado de la compañía de caballería de Tlacopayan D. Josef Ma-</t>
  </si>
  <si>
    <t>Fernandez, Angel</t>
  </si>
  <si>
    <t>Angel Fernandez</t>
  </si>
  <si>
    <t>…rregladas; previ niéndose está ya hecha postura en 38® rs. vn. en dinero metálico. Se venden 114 acciones del Banco nacional de S. Cárlos. Quien quisiere com prarlas acuda ante el Sr. D. Angel Fernandez de los Rios, del Consejo d ; S. M., teniente corregidor de esta muy heroica villa, y por la escribanía de su número que egerce D. Juan Raya, dentro de 15 dias. Habiendo sido reclamados por Doña Dominga Asanco, y retenidos en la oficina de Renovación, tres val…</t>
  </si>
  <si>
    <t>…Valladolid , que resulta vacante por muerte de D. Josef Gon zález Villar , á D. Pascual Alpuente. Asimismo se ha servido S. M. conceder honores de oidor de la misma chancillería á D. Angel Fernandez de los Ríos, teniente corregidor mas moderno de esta muy heroica villa-----Para el cor regimiento de las cuatro villas de la Hoya de Málaga, su capital Cohin , á D. Francisco Xavier Mosquera de Rega; y para el de la villa de Almonte á D. Blas Antonio Martel:…</t>
  </si>
  <si>
    <t>…rá á lo que haya lugar, y les parará perjuicio, sin mas citarles ni emplazarles. Se vende un molino de chocolate, tasado en 7056 rs. vn. Quien quisiere hacer postura acuda ante el Sr. D. Angel Fernandez de los Ríos, del Consejo de S. M., teniente corregidor de esta muy heroica villa, por la escribanía de su número que egerce D. Juan Raya; y está señalado para el remare el dia 24 de este mes á las 12 en la puerta de la audiencia del mismo señor. Los suscripto…</t>
  </si>
  <si>
    <t>…rgas. La persona que quiera hacer postura acuda ante dicho señor y escribanía del número de D. Alejandro Gutiér rez, que se admitirá siendo arreglada. En virtud de providencia del Sr. D. Angel Fernandez de los Ríos, del Conse jo de S. M., teniente corregidor de esta muy heroica villa, se cita, llama y empla za á todas ias personas, corporaciones ó establecimientos que se consideren con de recho á los bienes que han quedado por fallecimiento abintestato, y en…</t>
  </si>
  <si>
    <t>…con su fe de bautismo legalizada en la secretaría del Emo. Sr. cardenal patriarca de las Indias en el termino de 40 dias, que fenecerán en 31 de Marzo de 1818. Por providencia del Sr. D. Angel Fernandez de los Ríos, del Consejo de S. M., oidor honorario de la Real chancillería de Valladolid, y teniente corregidor de es ta muy heroica villa, refrendada de D. Pascual Seco, escribano Real y del número de la misma, se ha señalado para el tercer remate de una cas…</t>
  </si>
  <si>
    <t>Fernandez, AngeL</t>
  </si>
  <si>
    <t>AngeL Fernandez</t>
  </si>
  <si>
    <t>…y un olivar que tiene 11 olivas y 18 piernas al parage del Corralejo , tasado en 500 rS. Quien quisiere hacer postura á las nominadas Eneas acuda en el término de 30 dia» ante el Sr. D. AngeL Fernandez de los Ríos, teniente corregidor de esta corte, y por la esgribat)ía,.ciel número de la misma del cargo de D. Pascual Seco, que se ad mitirán las que se hicieren siendo, arregladas. .... Se desea s^jber.el paxadfero de Doña Josefa ó Isabel Benavente, viuda de…</t>
  </si>
  <si>
    <t>…es y'jiimillaV cada uno á 80 rs. :=:Sto. Toribio Mogrovejo, á 12. (Se continuará.') ? . 1 ■ — ' " ■'■■■ ............... . !1 ■' i' , 1 v " ' ■' " —............ Por providencia del Sr. D. Angel Fernandez de los Ríos, teniente de corregi dor de ésta' corte / refrendada de D. Pascual Seco, escribano Real y del número de la misma, se ha mandado saéár á pública subasta por término de 30 días un pajar sitó en el lugar de Fuencarral, jurisdicción de esta dicha vill…</t>
  </si>
  <si>
    <t>…que se halla en el Real monasterio.del Escorial, grabado por Noseret, á 8.=Otro del P. Fr. Francisco de los Santos, del mismo, á 8. (Se continuara.') En virtud de providencia del Sr. D. Angel Fernandez de los Ríos, del Consejo de S. M., teniente de corregidor de esta muy heroica villa, se sacan á pública sub asta por término de 30 dias, contados desde 4 del corriente, una casa sita en el lu gar de Carabanchel de abajo, con destino i fabrica de jabón, Ja que…</t>
  </si>
  <si>
    <t>…gun su actual estado; y un sitio erial enfrente de ellas en la mis ma calle del Mesón de Paredes, núm. 43, manz. 68, tasado en 14368 rs. Quien quisiere hacer postura acuda ante el Sr. D. Angel Fernandez de los Ríos , del Con sejo de S. M., teniente corregidor de esta muy heroica villa, por la escribanía de nú mero de D. Claudio Sanz; y para su remate está señalado el dia 26 del corriente ¿ las 12 de la mañana en las puertas de la audiencia de S. S. Por el pr…</t>
  </si>
  <si>
    <t>…l Sr. D. Joaquin de Almazan, del Consejo de S. M., teniente corregidor de esta muy heroica villa, por la escribanía de número de D. Claudio Sanz, dentro del término de 30 dias. El Sr. D. Angel Fernandez de los Ríos, del Consejo de S. M., teniente corre gidor de esta muy heroica villa, por auto de 24 del corriente, refrendado de Don Claudio Sanz, escribano del número, ha señalado para celebrar junta general de acreedores á la testamentaría del Excmo. Sr. D. M…</t>
  </si>
  <si>
    <t>Fernandez, Ángel</t>
  </si>
  <si>
    <t>Ángel Fernandez</t>
  </si>
  <si>
    <t>…n la. testamentaría de Doña María de la Encarnación Ncstares y .Chapínj viuda que fue de.D. Francisco Herrera, para que concurran á la junta que ha .de celebrarse en la posada del Sr. D. Ángel Fernandez de los Ríos, teniente corregidor de esta muy heroica villa, en el día 13 de Junio próximo 4 las ocho. Eugenio Hurtado, músico profesor y escritor de libros de coro, establecido en esta corte en la calle dé S. Roquenúm. 29, cuarto i.°t tiene una sobresaliente…</t>
  </si>
  <si>
    <t>…istrará justicia; con apercibimiento que pasado el referido término, sin mas citarles ni emplazarles, se procederá á lo que haya lugar en derecho. Eir-vrrtad-"clc-providtttcia del Sr. D. Angel Fernandez de los Ríos, del Consejo</t>
  </si>
  <si>
    <t>…e presente ante S. S. y referida es cribanía;, para que -prévio su reconocimiento se proceda á sustanciar la causa con la brevedad que de suyo exige el asunto. Por providencia del Sr. D. Angel Fernandez dé los Ríos, teniente corregidor de esta corte, refrendada de D. Pascual Seco, escribano Real y del número de la misma, se ha trasladado al dia 9 dei mes de Julio, en su audiencia, el remate que sei señaló para el 15 del corriente de los bienes siguientes, si…</t>
  </si>
  <si>
    <t>…cación; previniéndose esta señalado para su remate el dia inmediato al que cumpla, siendo útil, en la mismii escribanía de provincia , á las 11 de su mañana. 1 Por providencia del Sr. D. Angel Fernandez de los Ríos, teniente corregidor dé está muy heroica villa, se cita y emplaza á D. Joaquín Macias, tenedor de un vales de 300 pesos de i.° de Setiembre de 1809. señalado con el número: 28137, á Don Juhñ Martin, tenedor de otro del mismo valor y creación, seña…</t>
  </si>
  <si>
    <t>824</t>
  </si>
  <si>
    <t>…rece que en todos los respectivos distritos dé ellas se goza de buena y completa salud , y que siguen observándose con esmero las disposiciones precaucionales. Por providencia del Sr. D. Angel Fernandez de los Ríos, del Consejo de S. M., teniente primero de Corregidor de esta muy heroica villa, en cuyo juzgado y escri banía de numero de D. Tomas de Sancha y Prado se siguen los autos de testamen taría del Sr. D. Diego López Perella; y en conformidad de lo aco…</t>
  </si>
  <si>
    <t>…ente prevenido, las que se deberán egecutar por mano de D. Custodio Henriq.uez ? escribano prin cipal del juzgado militar y de esta, comisión. = Gaspar Vigodet. Por el juzgado del Sr. D. Angel Fernandez de los Ríos, del Consejo de S. M., teniente primero de corregidor de esta muy heroica villa, y escribanía del número de D. Anselmo Ordonez, se halla instancia pendiente en razón á la pertenencia de los cortos.bienes quedados por el fallecimiento intestado de…</t>
  </si>
  <si>
    <t>…a y Gueman , el Mtro. Juan de Avila, el P. Fr. Josef de Sígiienza, D. Diego Covarrubias y Leiva, Juan lírbina, y el P. Q. Tomas Vicente Tosca. (Se continuará.) Por providencia del Sr. D. Angel Fernandez de los Ríos , del Consejo de S. M. y teniente corregidor de esta muy heroica villa, se cita y emplaza á las personas particu lares ó comunidades de cualesquiera clase y condición que sean , que se consideren con derecho á los bienes de Andrés Palmeiro, vecino…</t>
  </si>
  <si>
    <t>…Alfonso de Villegas: 15. Ñuño.Nuñez Rasura¿ Lain Calvo, Pedro Navarro, D. Juan Bautista Perez, D. Gerónimo Gómez de Huerta, y D. Gas par de Guzman y Pimentel. (Se continuara.') El Sr. D. Angel Fernandez de los Ríos, del.Consejo de S. M., teniente corre gidor de esta muy heroica villa, ha señalado el domingo 11 del corriente á las nue ve de su mañana , para celebrar junta general de acreedores á la casa del Excmo. Se ñor marques de Astorga, conde de Altamira…</t>
  </si>
  <si>
    <t>Fernández, Angel</t>
  </si>
  <si>
    <t>Angel Fernández</t>
  </si>
  <si>
    <t>…Josef del Campillo, el Car,denai IX íraticisco de Mendoza, y D. Alfonso de Cartagena. ¿ &amp; continuará.) ■ ■■■■■'■» ■ *— ;-- - ........— ■ - "■■■ ....... ■ 1 " —.... .i ■■■■■ —.. Él Sr. D. Angel Fernández de los Ríos, del Consejo de S. M., teniente primero de corregidor de ésta muy heroica villa, ha señalado para la celebración de una jun ta de los acreedores dé D. Luis Bonesio el día 25 del corriente en su posada, á las nueve en punto de su mañana, citándolos…</t>
  </si>
  <si>
    <t>…so Salmerón, D. Bérnaido de Valbuéna^ y D.FelipeGil de Taboada. Cada cuaderno dé seis retratos con el epítome dé su, vida , 50 rs.: cada retrato suelto á 8 rs. Por providencia dél Sr. D. Angel Fernandez de los Ríos , ¡del Consejó de S. M , primer teniente de corregidor de esta muy heroica villa, su fecha 26 de Setiembre, se ha mandado sacar a publica subasta por término de 30 dias, contados desde dicha fecha, Ja dehésáilamad^ del Rincón A deLCabalgadoi*, en'…</t>
  </si>
  <si>
    <t>…stúrtas , solicitan se les declare herederos de su hermano Josef, que sin dejarlos forzosos falleció abintestato en el hospital de Marsella á-14 de Febrero de t8io; y por auto del Sr. D. Angel Fernandez de los Ríos , del Consejo de S. M., primer te niente de corregidor dé esta muy heroica villa , refrendado del escribano de su núme ro D. Martm¡ Santin y ^Vázquez, se ha mandado llamar y emplazar y como se. hace, á, las personas qué por-cualquiera título se ha…</t>
  </si>
  <si>
    <t>…ncia y escribanía dentro del referido término. Vicente Perez, vecino y abastecedor de carnes en Madrid, y labrador en la villa de Pinto, ocurrió en 30 de Julio de este año ante el Sr. D. Angel Fernandez de los Ríos, del Consejo de S. Mi / teniente primero de corregidor de esta muy heroica villa, por la escribanía del número de cargo de D. Francisco Alcázar, solicitando espera para el pago de diferentes deudas con que dijo se hallaba, importantes 134939 rs. v…</t>
  </si>
  <si>
    <t>…de la historia de la vida de Cicerón, á 50.__ Ocho estampas, de diferentes pinturas deJL Real palacio, grabadas por Goya y Castillo á 24. ( Se continuará.) Por providencia del Sr; D. Angel Fernandez de los. Ríos, del Consejo dé S. M.,. teniente corregidor de esta muy heroica villa, está, declarado que para, cumplir. Don Matías. Pecina, con. las, funciones del Sr; D. Juan Agustín deBaquijano „ conde dé</t>
  </si>
  <si>
    <t>…necesite al objeto de llenar las funciones de su cargo. Lo que se hace saber á los que tengan relaciones con la propia testamentaría^ los efectos convenientes. Por providencia del Sr. D. Angel Fernandez de los Ríos, del Consejo de S. M., y teniente primero de corregidor de esta muy heroica villa, se cita yxmplaza á Don Juan de Hourco, vecino del lugar de Carabanchel de Abajo, contra quien pende cierta causa criminal, á que dentro de 20 dias, contados desde l…</t>
  </si>
  <si>
    <t>1012 Por providencia del Sr. D. Angel Fernandez*de los Ríos, del Consejp de S. M.,‘ y teniente primero de corregidor de esta muy heroica villa, refrendada de su escriba-^ no del número D. Jacinto Gaona y Loeches, se ha señalado el domingo 15 de No viembre próximo, y hora de las nueve de su mañana, en su po…</t>
  </si>
  <si>
    <t>…; con apercibimiento que pasado dicho término sin haber compare cido los referidos interesados se sustanciará el expediente sin mas citarles ni empla zarles. ; Por providencia del Sr. D. Angel Fernandez de los Ríos, del Consejo de S. M., teniente primero de corregidor de esta muy heroica villa, dada por ante el escribano del número D. Santiago de Estepar, á instancia del.reverendo padre comendador de nuestra Señora de la Merced calzada de esta corte, se cita…</t>
  </si>
  <si>
    <t>…eal cuerpo de Artillería en esta corte, en prueba de lo grato que le ha sido á S. M. el buen desempeño que ha tenido todo el tiempo que ha estado en cargado de este ministerio. El Sr. D. Angel Fernandez délos Ríos, del Consejo de S. MI, teniente primero de corregidor, dé ésta muy heroica villa, ha señalado pará celebrar junta de acreedores ’á la testamentaría del limo. Sr. marques de la Hinojosa el «lia 19 del corriente, á las nueve en punto de su mañana, en…</t>
  </si>
  <si>
    <t>1152</t>
  </si>
  <si>
    <t>…su egecutoría de 10 del corriente, han confirmado la celebración de la junta general de todos los acreedores de Joaquín Angel García , acor dada por el Sr. teniente de corregidor D. Angel Fernandez de los Ríos, y que mien tras tanto se suspendan los efectos de todas las instancias pendientes contra el deudor hasta la celebración de aquella, y que verificada usen de su derecho, con arreglo al resultado de la misma; y teniéndola señalada el expresado seño…</t>
  </si>
  <si>
    <t>…ta Real, Se suscribe en dicho despacho , y en las provincias en todas las ad ministraciones principales y agregadas de correos. &lt;• t:■ ■ • • ■ - - * v En virtud de providencia del Sr. D. Angel Fernandez de los Ríos, del Consejo de S, M., primer teniente corregidor dé esta iftüy* heroica villa, se ha mandado sacar '</t>
  </si>
  <si>
    <t>…a y cámara de S. M. en todo el mes de Agosto último, acudirán á recoger las certificaciones de sus líquidos haberes desde i.° de Diciembre próximo en adelante. Por providencia del Sr. D. Angel Fernandez de los Ríos, del Consejo de S. M., primer teniente corregidor de esta muy heroica villa, se cita, llama y emplaza á los poseedores de la casa solar de los Lemas , titulada la Boutureira, situada en el arzo bispado de Santiago, para que en el término de 30 dia…</t>
  </si>
  <si>
    <t>…Encar nación Nestares y Chapín, viuda de D. Francisco Jlerjrera, para que concurran á la jimta que se ha de celebrar el dia 20 de este mes , ¡á. las nueve, en fe posada del Se ñor D. Angel Fernandez de los Ríos, del Consejó‘de S. M., teniente corregidor dé ésta muy heroica villa. * . i ■ Por providencia del Sr. D. Manuel Josef Rubio , teniente corregidor de esta muy heroica villa, y escribanía del número de D. Cristóbal de Vicuña , se ha mandado sa car á…</t>
  </si>
  <si>
    <t>…scritura de imposición en la diputación gene ral de los cinco Gremios mayores de esta corte, de 38333 rs. y is mrs. y medio de ¡capital. Quien quisiere hacer postura acuda ante el Sr. D. Angel Fernandez de los Ríos, del Consejo de S. M., teniente corregidor de esta muy heroica villa, por la escribanía de su número que egerce D._ Juan Raya, y está señalado para el remate el dia 3 de Febrero próximo, á la una, en la audiencia del mismo señor. Habiéndose presen…</t>
  </si>
  <si>
    <t>Fernandez, Antonio</t>
  </si>
  <si>
    <t>Antonio Fernandez</t>
  </si>
  <si>
    <t>…Real y Supremo* Consejo de. Castilla, precedida la apro bación de la ReaL junta superior de/Medicina é informe, de la de Farmacia, se sirvió S. M, en 28 de Marzo último conceder á D. Antonio Fernandez, pensionado de mérito por S. M., Real privilegio exclusivo para;vender el ja rabe pectoraL corroborante, que ha inventado para curar las toses pertinaces, corroborar el pulmón, y contener las hemotísis pasivas, el cual se ha anun ciado ya en la gaceta. Mas co…</t>
  </si>
  <si>
    <t>Fernandez, Antonio Villa y</t>
  </si>
  <si>
    <t>Antonio Villa y Fernandez</t>
  </si>
  <si>
    <t>…gui, vecino de la villa de Bilbao, se acudió por este al Sr. D. Joaquín Aimazan, deí Consejo de S. M., teniente corregidor de esta muy heroica villa, y escri-: banía del numero de D. Antonio Villa y Fernandez, y á su instancia con fecha 14 de Febrero de 1815 se libró despacho al pueblo donde residiese la Doña Dominga' Asanco, á fin de que se la hiciese saber que en el preciso y perentorio término de 15 dias compareciese ante div.ho señor juez y escribanía á expone…</t>
  </si>
  <si>
    <t>…s quedados por fallecimiento de D. Antonio Gutiér rez Pacheco, que falleció en esta corte en 2 del mismo mes, para que se presenten ante el mismo señor y escribanía del. número de D. Antonio Villa y Fernandez á pedir lo que estimen en dicho'término; én inteligencia que dé no hacerlo, sin mas ci tación ¿e sustanciarán los autos formados sobré el fallecimiento intestado del mismo, y les parará el perjuicio que haya lugar. En virtud de providencia del Sr. D. Manuel J…</t>
  </si>
  <si>
    <t>Fernandez, Benito</t>
  </si>
  <si>
    <t>Benito Fernandez</t>
  </si>
  <si>
    <t>…neciente d la hacienda de la Tlachiquera. De Frontera : el capitán graduado de teniente coronel D. Josef María No-' voa; tenientes D. Felipe Guillen y D. Mariano Miqueley; portas D. Benito Fernandez y D. Mariano Teran. De Nueva-Vizcaya: alféreces D. Lázaro Armendariz y D. Justo Escudero. De Sierragorda: capitán graduado de te niente coronel D. Cristóbal Villaseñor; teniente graduado de capitán D. Jo-, sef García Marín , teniente D. Manuel Ortiz , y graduados D. Pedro Ana y…</t>
  </si>
  <si>
    <t>Fernandez, Francisco de Paula</t>
  </si>
  <si>
    <t>Francisco de Paula Fernandez</t>
  </si>
  <si>
    <t>…facción del interesado. Asimismo por Real resolución de i.° dél presente mes, á consulta del Con sejo supremo de la Guerra, se ha servido S- M. conceder al licenciado en far macia D. Francisco de Paula Fernandez, natural y vecino de Puerto-Real, eí fuero militar, yuso de uniforme de segundo ayudante de farmacia de egércitó, en premio de los servicios que ha hecho en las boticas militares de campaña durante la última guerra; declarando al mismo tiempo le ha sido muy g…</t>
  </si>
  <si>
    <t>Fernandez, Josef María Nuñez y</t>
  </si>
  <si>
    <t>Josef María Nuñez y Fernandez</t>
  </si>
  <si>
    <t>…i llería á los caballeros cadetes del colegio militar de Segovia D. .Antonio Ter-^ jrero y Díaz; D. Mariano Salas y Azara; D. Francisco Lavalette y Rada; D. Rafael Suarez y Ceuti; D. Josef María Nuñez y Fernandez ; D. Josef Villamil y Uriarte; D. Narciso Ár'espacochaga y Bertendona; D. Josef XJrbina y Daoiz ; D. Josef Sola y del Castillo ; D. Pedro Villar y Abello \ Don Diego Fernandez Carcelen; D. Antonio Lardin y Pinto; D. Antonio Fer* nandez Carcelen; D. Francisco…</t>
  </si>
  <si>
    <t>Fernandez, Josef Miguel</t>
  </si>
  <si>
    <t>Josef Miguel Fernandez</t>
  </si>
  <si>
    <t>…los en todas sus direcciones; por lo que considero á todos los que me han acompañado dignos de la consideracion.de V. E., especialmente el teniente y subteniente de estas milicias D. Josef Miguel Fernandez y D. Marcos Domínguez, que contra los rebel des que se presentaron en Palo Blanco mandaron con mucho acierto, el pri mero la partida de caballería, y el segundo la guerrilla de infantería. „ La tropa expedicionaria que salió de la guarnición de Tuxpan se con dujo en canoas rio arr…</t>
  </si>
  <si>
    <t>…T&gt;e la segunda división de milicias de la costa dei Norte. Los capitanes D. Josef Miguel Carballo, D. Francisco Sañudo y D. Pedro! Antonio Blasco; los teñiéntes P. Josef'Llórente, D. Josef Miguel Fernandez, D; Juan Bautista Vid al y D. Salvador García del* Corral’; los subtenientes D. Santiago Bullosa y Don Marcos Domínguez ; sargentos primeros distinguidos D. Mariano Sabas de la Peña, D. Josef Arostegui y D. Francisco Ruibal; sargentos primeros Lázaro Muñoz y…</t>
  </si>
  <si>
    <t>Fernandez, Juan Benito</t>
  </si>
  <si>
    <t>Juan Benito Fernandez</t>
  </si>
  <si>
    <t>…mismo la considero digna de que hs*ga de ella la. recomendación que merece/, y muy particularmente de ios car pitanes de realistas D. Epítacío Sánchez y de dragones de Sierragorda D. Juan Benito Fernandez , y á los tenientes deí regimiento de Zaragoza D. Vicente Rolan y I&gt;. Juan Ampudia, como asimismo el subteniente 0. Josef Tainoa, que con la mayor eficacia comunicó mis Órdenes, y el bizarro alférez deSíerragorda D. Dionisio Esquive!, los. sargentos de. Sierr…</t>
  </si>
  <si>
    <t>Fernandez, Luis Ramón</t>
  </si>
  <si>
    <t>Luis Ramón Fernandez</t>
  </si>
  <si>
    <t>…referida escribanía , á usar del.derecho que crean convenirles; con apercibimiento que en su defecto les parará el perjuicio que haya lugar. Se desea saber si vive ó ha íalleeido D. Luis Ramón Fernandez , cirujano que fue en esta corte, que en eí año de 1809 se marchó á Cádiz, en donde se embarcó para Veracruz en el Bergantín Catalina, cgerciendo su facultad de cirujano sangra dor. La persona que lo supiere se servirá avisarlo á D. Justo del Campo, empleado…</t>
  </si>
  <si>
    <t>Fernandez, Manuel</t>
  </si>
  <si>
    <t>Manuel Fernandez</t>
  </si>
  <si>
    <t>…mas siempre corriéronla misma suerte que en el primero, siguiendo en esta disposición has ta que me puse á la. vista de su principal cantón, por lo que ordené al ca pitán graduado D. Manuel Fernandez de la Arada que con 60 hombres batiese de frente los parapetos sin empeñarse, y solo llamándoles la atención mien tras las guerrillas de derecha é izquierda lograban internarse para atacarlos por los costados; mas avisada de la imposibilidad de. penetrar aque…</t>
  </si>
  <si>
    <t>Fernandez, Manuel Jacobo</t>
  </si>
  <si>
    <t>Manuel Jacobo Fernandez</t>
  </si>
  <si>
    <t>…aragoza; el de Ardales D. Juan de la Monja en Casarabonela; el de Bornos D. Miguel Baldovi en este mismo pueblo; el de Caldetas D. Antonio Coca en Igualada; el de Caí das de Reyes D. Manuel Jacobo Fernandez en el misino pueblo; el de Sacedon D. Marcelino Sainz en el citado pueblo; el de Puerto-Llano D. Car los Martin del Romeral en esta corte calle de Atocha, pasadizo de la fon da , cuarto principal; el de Tiermas D. Antonio Turbica en Villel de Mesa; el del Mol…</t>
  </si>
  <si>
    <t>Fernandez, Pedro</t>
  </si>
  <si>
    <t>Pedro Fernandez</t>
  </si>
  <si>
    <t>…et, y el de caballe ría Dominico Paduano, con otros varios, oficiales. „I.a nuestra consiste en 7 soldados muertos del batallón de la Reina, el teniente D. Josef Rom y subteniente D. Pedro Fernandez levemente heridos, con 14 soldados mas; del batallón de Clarines 5 soldados muertos, y el te niente D. Felipe Mor fe y 13 soldados heridos; de. las compañías de Cam pano 2 soldados muertos, y herido el teniente D. Juan Martínez y ó soldados. „No puedo menos d…</t>
  </si>
  <si>
    <t>…id; lo$ subtenientes D. Sancho Pardo y D. Domingo Agustín; y del de Castilla contusos el capitán de granaderos D. Juan de Lo bo, el teniente D. Ventura Salgado, y los subtenientes D. Pedro Fernandez . y D. Angel Loño; del.de húsares también contuso de bala de cañón el porta D. Francisco Ximenez.</t>
  </si>
  <si>
    <t>Fernandez, Q. Angel</t>
  </si>
  <si>
    <t>Q. Angel Fernandez</t>
  </si>
  <si>
    <t>…tiene sobre sí; y 3200 de un farol y serenos, bajo la calidad que se acuerde al tiempo del remate con el apoderado del dueño , á cuya vo luntad se ba de verificar, acuda ante el, Sr. Q. Angel Fernandez de los Ríos, del Consejo de S. M., teniente primero de corregidor de esta muy heroica villa, y escri banía de D. Cristóbal de Vicuña; previniendo que está señalado para su remate el dia 7 de Agosto próximo, de doce á una de su mañana, en las puertas de la aud…</t>
  </si>
  <si>
    <t>FernandjJez, Angel</t>
  </si>
  <si>
    <t>Angel FernandjJez</t>
  </si>
  <si>
    <t>…, manza na 101 , que tiene dc sit ío desde la planta ’ principal en todas sus alturas 48 2 9$ pies, y; la planta baj¡^ 4¡¡4?|: pdes, tasada en 3,320,83^$. y 17 mrs., acuda ante el Sr. D. Angel FernandjJez: de los Ríos, del Consejo de S. M., teniente corregidor de esta muy heroica viiy, |)or la escribanía del numero de D. Cristóbal de Vicuña, que se vende á voluntad de su dueño con calidad de darla con capitales de censos 9 sin ellos por estar sujeta 1 tres, y…</t>
  </si>
  <si>
    <t>Fernando</t>
  </si>
  <si>
    <t>…o, S. Carlos, el Arenal y demas puntos de esta circunfe rencia , protestaban ser unos verdaderos defensores de los mismos para acre ditar su arrepentimiento y su justa adhesión ai Sr. D. Fernando vii , coad yuvando á la pacificación de esta provincia en unión de las tropas de S. M. cuando se les avise. ,,Excmo. Sr.: A todos los individuos referidos que se me han presentado les hice ver el amor paternal con que deben, contar en la notoria justificación…</t>
  </si>
  <si>
    <t>…sabias y de un orden general en todos los ramos de la administración pública, resolví al fin aco germe á las banderas respetables del augusto, del benigno, del piadoso Mo narca el Sr. D. Fernando vii de Borbon., á quien protesto servir y obe decer con tanta fidelidad y adhesión como fue mi ceguedad en agraviarle, para que entienda todo este reino que sí me obstinó en mis errores, tengo ca rácter para deponerlos y abjurarlos; y que si ha sido enorme el…</t>
  </si>
  <si>
    <t>…de Apodaca.” Partes del comandante militar de Tepic D. Joaquín Mondragon. 2.0 ,, Excmo. Sr.: Acabo de recibir el juramento de lealtad y vasallage que han prestado á nuestro Rey y Sr. D. Fernando vil 200 y tantos hombres que al cargo de los principales cabecillas Gamboa , Fuentes , Cañas, Costilla y otros se me presentaron y rindieron las armas en esta misma hora , soli citando la Real gracia del indulto, que por los medios de que ya tengo avi sado á…</t>
  </si>
  <si>
    <t>…íses-Bajos-Unidos. : Después dé las ¡gravísimas calamidades qne trae consigo una guerra des tructora en el seno de la patria , llegó por fin el suspirado dia en que el Rey nuestro Señor D. Fernando vii ocupó tranquilo su legítimo trono; y entre la multitud de objetos lastimosos que se le presentaron á la vista como con secuencias fatales de las desgracias anteriores, no fue el que menos conmovió su piadoso Real corazón el decadente estado en que .encont…</t>
  </si>
  <si>
    <t>…M. la Rf.ji*a nuestra Señora leyó con toda perfección, á pesar de la antigüedad desús caracteres, un pasage de las obras originales'dd Infante D. Juan Manuel, nieto del santo Rey D. Fernando. En seguida se trasladaron al precioso monetario , digno sin du da de ocupar un lugar distinguido entre los mas selectos de la Europa , y no» pudieron menos de manifestar su singular complacencia al registrar esté te soro tan completo de antigüedades y de riq…</t>
  </si>
  <si>
    <t>…manifestó so regocijo cóñ mochos cohetes y vivas al Rey. Desde dicho punto marchamos para la Real aduana de ésta ciudad, de donde se sacó el retrato de nuestro augusto Monarca el Sr. D. Fernando vii, el que visto en la calle * todos á portía querían llevarle, principiando á hacerlo ios M» RR» PP. cura y guardián de esta parroquia,.y siguien do por su órden los demas honrados vecinos j habiendo durado este paseo por las calles hasta la una de la mañan…</t>
  </si>
  <si>
    <t>…o que se libró con fecha 20 de Diciembre del propio año á instancia de la parte del Don Francisco Josef Fernandez de Horas y de D. Roque de Herrera, hijos y herederos del referido D. Fernando; y por providencia de 5 de Abril de 1796 se libró nueyo despacho para que por retardado se hiciese saber el auto de traslado de dicha par tición, con el correspondiente emplazamiento, á los hijos y herederos de D. Josef Joaquín de la Puente y Doña Ana María d…</t>
  </si>
  <si>
    <t>497</t>
  </si>
  <si>
    <t>…su benéfico instituto , oíjvce para el día 30 de M^yo de este año de 1818 los premios que ba de distribuir en justo obsequio, de su. augusto Protector nuestro .amado. Soberano el Señor D. Fernando yii de Borbon , y para dar un testimonio público y mani fiesto á S. M. de los incesantes desvelos de este, cuerpo patriótico, que si no pu de llenar como-quisiera las intenciones que le animan para fonu-mar los interesantes ramos de utilidad pública, á lo men…</t>
  </si>
  <si>
    <t>…30 ídem. Ronda 2 de Junio* ' El ReaL^uerp^^e maestranza caballería de esta ciudad, en obsequio de sil instituto, y en celebridad ,del plausible dia de nuestro augusto. Soberano. y Sr. D. Fernando vii &gt; se formó i caballo en la tarde del 30 del pasado en,</t>
  </si>
  <si>
    <t>…que de Real orden comunico á V. para su inteligencia y cumplimiento en la parte que le toca. Dios guarde á V. muchos años. Madrid 27 de Junio de 1818. 2. a Habiendo hecho presente D. Fernando de la Sierra, del comercio de esa plaza, que sin embargo de las Reales órdenes de 12 de Setiembre de 1793, 28 de Marzo de 94 y 3 de Febrero de 95 , que conceden varias gracias á Jas expediciones mercantiles que se emprendan desde los puertos de la península a…</t>
  </si>
  <si>
    <t>…viesen exámenes públicos de primeras letras en un espa cioso salón del colegio llamado de S. Bernardo, en cuyo testero se veía un hermoso retrato de nuestro augusto Soberano el Sr.D. Fernando vi i, bajo un rico dosel. En efecto, á presencia del ayuntamiento, clero secular y regular, y de un numeroso concurso de person^s de todas clases y estados , coiiiparéoieron á las nueve de la mañana 80 niños de que consta aquel establecimien¿o. Se dio princip…</t>
  </si>
  <si>
    <t>…ciencia, de cuyo cultivo y adelanta mientos no pende menos que da prosperidad y felicidad del Estádó.^ " ' Madrid 14 de Octubre. • ’ Hoy., dia del feliz cumpleaños dél Rey nuestró Señor D. Fernando vri, sé ha vestido la corte dé gála con .uniforme, y ha habido besamanos, al que han asistido los grandes, los diputados de los reinos, ministros, embajadores extrangeros , los tribunales, prelados, los generales y oficiales de los egércitos de mar y tierra ,…</t>
  </si>
  <si>
    <t>…~ ‘ La hermandad de Jesús Nazareno, establecida con Real aprobación pn jej cqpyento &lt;Je ¡§an Agustjn de esta ciudad , deseando perpetuar - la memoria de nuestro augusto Monarca el Sr. D. Fernando vii, extendió acuerdo para que todos los silos en su dia se celebrase una solemne función y Té.Deum por la salud de SS. MM. y Real Familia; y en consecuencia se verificó en el presente epu cuanta magnificenc ia fue posible ,, asistiendo el ayuntamiento en cér…</t>
  </si>
  <si>
    <t>1214</t>
  </si>
  <si>
    <t>…que hubo una vistosa iluminación. Madrid 2 de Diciembre. La diputación de los reinos, deseosa de dar nuevas pruebas de su decidido amor y lealtad á nuestro augusto Soberano-el Stí D. Fernando vii, y del interes que la anima por la conservación de la importante vida de la Reina nuestra Señora, su muy cara y amada Esposa, noticiosa de la próxima entra da de S. M. en los nueve meses de su preñez , celebró en la mañana del de este mes una solemne func…</t>
  </si>
  <si>
    <t>…as de los filósofos modernos para con-, seguirla: un tomo en 8.° “ Relación circunstanciada de los trabajos, prisión y muer te de Luis xvi. Rey de Francia, dedicada al Rey nuestro Señor D. Fernando vii: un tomo en 8.° = Historia de la nueva Antígona, dedicada á la Reina nuestra Se ñora Doña María Isabel de Braganza: un tomo en 8.° zzHistoria de la persecu ción de la Iglesia por Napoleón Bonaparte desde el año de 1796 hasta el de.1815 inclusive, con nota…</t>
  </si>
  <si>
    <t>1220</t>
  </si>
  <si>
    <t>…"hizo descubrimientos muy importantes. ESPAÑA. J 1 ' Madrid 4 de Diciembre. . A R T I C U L O D E O F I C I O. Real cédula de S. M. y Sres. del Real y supremo Consejo de Hacienda. D. Fernando vii por la gracia de Dios, Rey de Castilla, de León, de Aragón, &amp;c. A los de mi Consejo, presidentes &amp;c. Sabed 1 Que deseando</t>
  </si>
  <si>
    <t>…so en aquel destino, y que se publique en la gaceta para sa tisfacción del interesado. D. Narciso Montero pasó á las Américas el año de 1796, donde ha fallecido, dejando á su hijo D. Fernando en poder de D. Nicolás Ferrari, ayuda de cámara que era del Sermo. Sr. Infante D. Antonio; y teniendo dicho' D, Fernando derecho conocido á cierto mayorazgo que poseyó Doña Florentina Rodríguez de Ubierna, vecina que fue del lugar-de Huermeces, provincia de B…</t>
  </si>
  <si>
    <t>Ferrandiere, Fernando</t>
  </si>
  <si>
    <t>Fernando Ferrandiere</t>
  </si>
  <si>
    <t>…l estado eclesiástico. Se admiten memoriales hasta el 20 del corriente, que se dirijirin al escribano de ayuntamiento. Arte de tocar la guitarra española por música, compuesto por D. Fernando Ferrandiere, profesor de música de esta corte: 2.a impresión con 17 láminas finas y un diálogo sobre la composición instrumental y vocal. Se vende en pasta y en rústica en la librería de la viuda de Ramos, carrera de S. Gerónimo, en la de Brun, frente á las covachuelas,…</t>
  </si>
  <si>
    <t>Ferrari, Nicolás</t>
  </si>
  <si>
    <t>Nicolás Ferrari</t>
  </si>
  <si>
    <t>…ue se publique en la gaceta para sa tisfacción del interesado. D. Narciso Montero pasó á las Américas el año de 1796, donde ha fallecido, dejando á su hijo D. Fernando en poder de D. Nicolás Ferrari, ayuda de cámara que era del Sermo. Sr. Infante D. Antonio; y teniendo dicho' D, Fernando derecho conocido á cierto mayorazgo que poseyó Doña Florentina Rodríguez de Ubierna, vecina que fue del lugar-de Huermeces, provincia de Burgos, se da este aviso para si…</t>
  </si>
  <si>
    <t>Ferrer, Francisco Sánchez</t>
  </si>
  <si>
    <t>Francisco Sánchez Ferrer</t>
  </si>
  <si>
    <t>…ra de alcalde mayor primero de Granada á D. Gerónimo Agüero : para la de Ayamonre^á D. Joatquia Avendañotpara la de Siruela á D. Ramón Carvajal y Trejo:- para la de Casas de Bes á D. Francisco Sánchez Ferrer : para la de Bodonal á D. Ma nuel Arce y Revuelta: para la de Montoro á D. Justo Rodríguez Hurtado4; para la de. Constantina a D. Josef López Requena : para la de Alconchel á IX Juan Castillejo Navalon : para ia de Javaiquinro á IX Juan Ramón de Ibarra : para…</t>
  </si>
  <si>
    <t>Ferreras, Juan de</t>
  </si>
  <si>
    <t>Juan de Ferreras</t>
  </si>
  <si>
    <t>…rpió, D. Antonio Solis, y D. Nicolás Antonio: 2.° el cardenal Gil Albornoz, Gonzalo Fernandez de Córdoba, el gran duque de Alba, Arias Montano, D. Fran cisco Quevedo y Villegas, y D. Juan de Ferreras. (ÍV continuarán.') Por el juzgado de provincia del Sr. D. Andrés Oller,. del Consejo de S. M., al calde de Casa y Corte, y escribanía de D. Juan Antonio Diaz Nonega que regenta el infrascrito escribano D., Pedro Josef de Ibabe, se ha formado expediente a ins…</t>
  </si>
  <si>
    <t>Ferreti, Josef</t>
  </si>
  <si>
    <t>Josef Ferreti</t>
  </si>
  <si>
    <t>…alcaide de su Real Casa'y Gorfe ,' su; fecha 5 -debcón-jente * refrán dád a del cribano de provincia D. Valdomero Moraleda, ante quien está radicado el juicio; de testamentaría de D. Josef Ferreti £!aracc¡oÍo ,vy de conformidad de varios acreedpref censualistas y otros, se vende una casa correspondiente! ella sita en esta corte, calle del Conde Duque, que vuelve á la de S. Dimas, y accesoria á la de Manuel, distinr guida con el num. 3, manz. 538, que c…</t>
  </si>
  <si>
    <t>Fersen, Fabien de</t>
  </si>
  <si>
    <t>Fabien de Fersen</t>
  </si>
  <si>
    <t>…l conde Gustavo Loewehielm , que viene de Suecia á dar parte de las novedades .ocurridas en aquel Gobierno. SUECIA. Stockolmo 13 de Marzo. Ayer murió aqui á los 54 años de edad el conde Fabien de Fersen* grande del reino, caballero del orden de los Serafines, gran chambelán y ge fe del segundo regimiento de guardias. Pasaba por el particular mas rico en bienes raíces, y era hermano único del conde Age! deFersen, mariscal del reí-* no, que fue asesinado aqui…</t>
  </si>
  <si>
    <t>FeU</t>
  </si>
  <si>
    <t>…corte en este Real palacio, á la tarde paseo con músicas militares, y por la noche ilumi nación completa en el teatro con marchas análogas á felicitar i nuestro ama do Soberano él Sr. D. FeU/na^do vil por los importantes sucesos que se ce lebran j esperando qué en todas partes , así cómo en la actual ‘concurrencia de la plaza de armas con motivo de la festividad de Todos Santos, se Com portará esté publico coñ la moderación y buen 'modo q'úe tiéh…</t>
  </si>
  <si>
    <t>Ffrnandq</t>
  </si>
  <si>
    <t>…dor á Londres, y que saldrá dentro de pocos dias. J , Madrid 23 dé Febrero. ' ■ '■ ■ &gt; • ' - 1 ■ * _ - : ■ 5 ' ARTICULO I&gt; F. OFICIO. ' Real cédula de S. M. y Señores del Consejo. Don Ffrnandq vii por la gracia de Dios, Rey de Castilla, de Lson’&amp;Cí A lejs del mi Consejo., sabed: Que por D. Pedro Martínengo y compañía fce «presentó á ,mi augusto Abuelo una propuesta en Octubre de 1769 ofreciendo emprender la grande; obra de hacer á su costa y expens…</t>
  </si>
  <si>
    <t>Fia</t>
  </si>
  <si>
    <t>…itares, entre los que había algunos de 25 y 30 años, han comulgado por la primera vez de su vida en la capilla de la cindadela. Estas conversiones son debidas en parte al zelo del Sr. Fia mam, capellán de dicho cuerpo.. ESPAÑA. „ ' ■* México a / de Noviembre-* Continuación de los partes de Nuevas España* ZACOALtAN. Parte del teniente coronel D* Mateo Cuiltirelativo al asalto de Alahuixtlan* „ Excmo. Sr. : En cumplimiento de lo que prometí á V.…</t>
  </si>
  <si>
    <t>Fidalgo, Joaquín Francisco</t>
  </si>
  <si>
    <t>Joaquín Francisco Fidalgo</t>
  </si>
  <si>
    <t>…desde la de Pinos has ta la punta S. Blas del golfo del mismo nombre: su precio 18 rs. vn. Estas cartas fueron trabajadas de orden del Rey en 1793 Por brigadier de la Real armada D. Joaquín Francisco Fidalgo y el capitán de navio D. Manuel del Castillo en los bergantines Empresa y Alerta. Se hallarán en Madrid en el despacho de obras de la dirección hidrográfica, calle de Alcalá; en Cádiz en ct depósito particular, casa de la Camorra; en las academias de Reales G…</t>
  </si>
  <si>
    <t>Fierto, Josef María</t>
  </si>
  <si>
    <t>Josef María Fierto</t>
  </si>
  <si>
    <t>…is: el capitán D. Anastasio Bustamante herido. Dragones de S. Carlos: el capitán D. Manuel Linares herido de gravedad. Segunda sección: bata llón ligero voluntarios de Navarra: el teniente D. Josef María Fierto y el ca dete D. Juan Paule, muertos: el capitán D. Fernando Puertas y el subte niente D. Miguel Culebras, heridos de gravedad; y el ayudante segundo Don Josef Ures herido. Regimiento Provincial de Toluca: el capitán graduado D. Mariano Molina muerto; y en la…</t>
  </si>
  <si>
    <t>Figares, Teresa</t>
  </si>
  <si>
    <t>Teresa Figares</t>
  </si>
  <si>
    <t>…y blanqueadas por su mano en aque llos momentos dispensados ai recreo: 40* rs. á Doña Joaquina Martínez de la Pedrera por seis madejas de hilado de la mayor delicadeza : 40o rs; á Doña Teresa Figares, maestra de blondas y encajes de la escuela establecida en la Real casa del hospicio de esta ciudad, y á Ramona Fernandez, María Igle sia, Josefa y MaríaJElquezabal y Joseüa Olañeta, alumnas suyas, que pre—</t>
  </si>
  <si>
    <t>Figols, Juan Bautista</t>
  </si>
  <si>
    <t>Juan Bautista Figols</t>
  </si>
  <si>
    <t>…e la renta de la Real lotería. Seguidamente el vice-secreta rio D. Lorenzo Muriel leyó la memoria anónima arriba expresada sobre restablecimiento de fábricas de seda; y por último D. Juan Bautista Figols leyó su memoria pre miada de desecación de terreno cercano á Almenara. Reunida la junta en el dia 8 se comenzó por un discurso que dijo el vice-d i rector, procurando ma nifestar han resultado algunas utilidades al público de las discusiones y tra bajos de la…</t>
  </si>
  <si>
    <t>Figueroa, Josef Vázquez</t>
  </si>
  <si>
    <t>Josef Vázquez Figueroa</t>
  </si>
  <si>
    <t>…ndréis su cumplimiento, comunicándolo á quien corresponda = Rubricado de la Real mano. = Palacio 14 de Setiembre de 1818. = A D. Francisco de Eguía.” 2.0 ,,He venido en exonerar á D. Josef Vázquez Figueroa del cargo de mi Secretario de Estado y del Despacho de Marina, y nombro para que le sirva en propiedad al teniente general D. Baltasar Hidalgo de Cisneros, espitan general en el departamento de Cádiz; y hasta su presentación en esta corte desempeñareis vos in…</t>
  </si>
  <si>
    <t>Filba, Jaime</t>
  </si>
  <si>
    <t>Jaime Filba</t>
  </si>
  <si>
    <t>…el corriente, se manda citar y emplazar, como por el presente se cita, lla ma y emplaza á todos los que con algún motivo sean acreedores á los bienes quedados por fallecimiento de D. Jaime Filba, vecino que fue de esta corte., para que en el término de 20 dias, contados desde ésta publicación, comparezcan por dicho juz gado y escribanía á deducir,y exponer lo que á su derecho convenga; con apércíbimíento de. que pasado, dicho término sin haberlo veri…</t>
  </si>
  <si>
    <t>…escribano^1 se ha señalado ef domingo 22 de Noviembre próximo., y hora de las pueve de su mañana, en,casa de S. S. , para la junta general de acreedores á los bienes quedados por D. Jaime Filba. Se cita, llama y emplaza á Pablo Alvarez, D. Zvíanuel Molina y D. Manuel Ce lada, á cuyo favor aparecen los últimos endosos de tres vales de 150 pesos de i.° de: Enero de 1809, números 339714, 339944 y 340184, para que dentro del preciso* término de 30 días…</t>
  </si>
  <si>
    <t>Fleuri</t>
  </si>
  <si>
    <t>…guez de Guevara, los que fueron examinados por el señor corregidor y dicho rector en la doctrina cristiana y rudimentos de historia sagrada por los catecismos del P. Ripalda y det abad Fleuri, á que respondieron los niños con el mayor acierto. En seguida leyeron en varias obras,asi en prosa cómo en verso,y también en manuscri to, dando razón al mismo tiempo de los efecros de la puntuación, loque hi cieron con el mayor desembarazo , á proporción de…</t>
  </si>
  <si>
    <t>…á tantos tiernos niños, que con la facilidad y libertad mas graciosa manifestaron ¡una instrucción po« cb común en la doctrina cristiana por los catecismos de Astete añadido y del abad Fleuri, en que habian sido instruidos por su diguo maestro el P. predicador Fr. Juan Gorgojo. . : . Examinados después «en sílabas por el método de Naharro, 'en aritmética y ¡^gramática castellana, apenas hacia creíble la experiencia unos adelantan ipiemos tan rápid…</t>
  </si>
  <si>
    <t>…ruirá en \fa móraf evangélica como fpente dé íá verdadera sabiduría, quédanclo á cárgo dcí cura párroco él examen mensual de doctrina cristiana por los catecismos de RipaIda y del abad Fleuri; y en cuanto á la parte científica en primeras letras, gramáti ca castellana, lengua francesa , taquigrafía ó arte de escribir tan de prisa como §e habla , música., dibu ¡o ¡ auxiliado de la geometría descriptiva, y de las pro porciones del cuerpo, humano, ge…</t>
  </si>
  <si>
    <t>Flo, Juan</t>
  </si>
  <si>
    <t>Juan Flo</t>
  </si>
  <si>
    <t>…r. mariscal de campo Don Josef de la Cruz.’\ . 2.0 „ Excmo. Sr.: Paso á manos de V. E. para su debido superior cono cimiento el parte original que me ha dirigido el sargento mayor D. Juan Flo res , comandante militar de S. Pedro Piedragordá, con motivo del buen éxi to que logró en los pueblos del Rincón una partida que despachó este gefe á las órdenes del teniente D. Celso Díaz. ' ,,Díos guarde á V. E. muchos años,. Guadalajara 31 de Diciembre dp…</t>
  </si>
  <si>
    <t>Flojas, Narciso</t>
  </si>
  <si>
    <t>Narciso Flojas</t>
  </si>
  <si>
    <t>…ticia que en la hacienda de Sta. María había una gavilla de rebeldes, por lo que me dirigí inmediatamente á dicha hacienda, en la que logré aprehender al capitán Al bino Rojas, al teniente Narciso Flojas su hermano, y otros 4, con 3 machetes y 8 caballos; quienes examinados sobré .si tenían mas fuerza y armas, me con fesaron tener dos,fusiles componiendo-en el pueblo del Rincón, y que 3 de sus individuos se. habían fugado á mi llegada; con cuyo aviso marché p…</t>
  </si>
  <si>
    <t>Flores</t>
  </si>
  <si>
    <t>…eunidas cargaron sobre los rebeldes, quienes se pusieron en precipitada fuga, habiendo ^dejado seis muertos, un capitán mortalmente herido, y otro rebelde prisionero. El refe rido sargento Flores luchó por espacio de diez minutos con un rebelde arma do con lanza, y sin embargo de haber recibido con aquella arma cinco heri das, de las cuales se desangró extraordinariamente, logró quitársela y darle la muerte, cayéndose en seguida Flores de su caballo d…</t>
  </si>
  <si>
    <t>Flores, Carlos</t>
  </si>
  <si>
    <t>Carlos Flores</t>
  </si>
  <si>
    <t>…á inco modarme.; y dispuse que el subteniente de realistas D. Josef Luis Flores con una corta partida de caballería marchara por la cañada, y el teniente del regimiento de Zamora D. Carlos Flores con otra lo verificara por el frente á fin de aca barlos ; pero observando que la gavilla era superior en mucho número, me die ron el correspondiente aviso; y en su consecuencia mandé al sargento primero de realistas de Sta. María del Rio D. Felipe Flores, qu…</t>
  </si>
  <si>
    <t>Flores, Felipe</t>
  </si>
  <si>
    <t>Felipe Flores</t>
  </si>
  <si>
    <t>…e la segunda y quinta compañía del Poto sí, y 44 de la primera y segunda del primer escuadrón del Sur con los ofi ciales de los primeros teniente D. Josef María Yañez, y alféreces D. Felipe Flores y D. Ramón de la Cruz; y de los segundos teniente D. Ignacio Prie to, y alféreces D. Ignacio Narvaez y D. Agustín Mora, con cuya fuerza me dirigí por el rumbo de Zimatepec, acampando en las lomas del Capire» El 16 por la mañana emprendí mi marcha, arreglándome á las ins…</t>
  </si>
  <si>
    <t>…pero observando que la gavilla era superior en mucho número, me die ron el correspondiente aviso; y en su consecuencia mandé al sargento primero de realistas de Sta. María del Rio D. Felipe Flores, que con 20dragones fuera á incorporarse con las otras dos partidas, las cuales reunidas cargaron sobre los rebeldes, quienes se pusieron en precipitada fuga, habiendo ^dejado seis muertos, un capitán mortalmente herido, y otro rebelde prisionero. El refe rid…</t>
  </si>
  <si>
    <t>Flores, Joaquín Arias</t>
  </si>
  <si>
    <t>Joaquín Arias Flores</t>
  </si>
  <si>
    <t>…dia 3 del corriente ^ y aumentándose esta fuer za en Querétaro hasta 700 hombres de todas armas, se situaron en Celaya á las órdenes del teniente coronel graduado de dicho cuerpo D. Joaquín Arias Flores , con el expresado objeto y el de cubrir ambas ciudades en observa ción de los movimientos del rebelde Mina. Arias hizo el dia 21 una salida so bre la hacienda de S. Nicolás, donde sorprendió una gavilla de los de Jalpa, dando muerte á 27 , y haciendo 32 pris…</t>
  </si>
  <si>
    <t>Flores, Josef Luis</t>
  </si>
  <si>
    <t>Josef Luis Flores</t>
  </si>
  <si>
    <t>1 20 C niente.de realistas D. Josef Luis Flores, á cpiien previne , &lt;jü£ pasadas Cuatro horas de mi salida, lo verificará7 y marchara por• Ipié jto 1q! ■"I£1C* 1 Ah . furvt* Cl; finnio CA^n^nrlAi* o o 1 hitnne. voKalrlac eif’ufobó:rmiúl ^£aÜok/ne ría ar-4lJLt* K ^ alguna ; pero Floresr,ique: cumplió err'üñ…</t>
  </si>
  <si>
    <t>…blancas al de la Piedra. A pocos momentos de ha-, ber llegado al citado rancho se presentó una corta gavilla de rebeldes á inco modarme.; y dispuse que el subteniente de realistas D. Josef Luis Flores con una corta partida de caballería marchara por la cañada, y el teniente del regimiento de Zamora D. Carlos Flores con otra lo verificara por el frente á fin de aca barlos ; pero observando que la gavilla era superior en mucho número, me die ron el correspon…</t>
  </si>
  <si>
    <t>Flores, Juan</t>
  </si>
  <si>
    <t>Juan Flores</t>
  </si>
  <si>
    <t>…ños,. Guadalajara 31 de Diciembre dp 1817. = Excmo. Sr. = Josef de la Cruz. = Excmo. Sr. virey D. Juan Ruiz de Apodaca.” ■? ‘ •' . • ,i V. ........... ,:fParte del sargento ntayor D. Juan Flores. i ; ,,Excmo; Sr; :■ En el dia de ayer dispuse que saliese con dirección á los pueblos del Rincón el teniente de drágones de Nueva-Gal ida D. Celso Díaz y, cf de igual clase D.Mariano Maeíel, de fieles realistas, con poco mas de 100</t>
  </si>
  <si>
    <t>…a pequeña sección. ,,Dios guarde á vmd. muchos años. Ojuelos Febrero 17 de 1 8. = Josef Gaspar de Ochoa. = Sr. teniente coronel D. Hermenegildo Revuelta.” Parte del sargento mayor D. Juan Flores al Excmo. Sr. comandante general D. Josef de la Cruz. ,,Excmo. Sr.: El dia 23 en la tarde salieron de este destacamento los dos piquetes de Acordada al mando del capitán de fieles realistas graduado Don. Estéban Quesada, con el objeto de proteger el paso á SI…</t>
  </si>
  <si>
    <t>Flores, Raimundo</t>
  </si>
  <si>
    <t>Raimundo Flores</t>
  </si>
  <si>
    <t>…a noble za personal. Escuadrón dé Tisnados. J&gt;. Francisco Polanco se le confirmó en el em pleo de capitán, y obtuvo la medalla de oro y la nobleza personal. r Escuadrones del Rey. D. Raimundo Flores se le confirmó en su em pleo, y sé le concedió el Don personal. ^ - , • ' ] Campo volante de Orituco. D. Raimundo Marques fue confirmado- en su</t>
  </si>
  <si>
    <t>Fochs, Juan Gerardo</t>
  </si>
  <si>
    <t>Juan Gerardo Fochs</t>
  </si>
  <si>
    <t>…pre sidiendo el Éxcmo^ Sr. D. Francisco Xavier de Castaños, capitán general de los Reales egércitos, y de este egército y principado, y presidente nato de ella. Luego el canónigo D. Juan Gerardo Fochs, catedrático de matemáticas y de cosmografía, y socio de número de la propia Real academia, abrió el acto con una breve pero enérgica oración, en la que hizo ver las utilidades que acarrea á la nación el expresado Real cuerpo científico, formando en sus cia s…</t>
  </si>
  <si>
    <t>Folgueras, Mariano</t>
  </si>
  <si>
    <t>Mariano Folgueras</t>
  </si>
  <si>
    <t>…te viña del Señor. La necesidad y utilidad de enviar religiosos europeos L aquellas partes del mundo se echa de ver en una carta que escribió á la Regencia de España en 1809 el Sr D. Mariano Folgueras, gobernador interino de Filipinas , la qué trasladamos por su utilidad. ,,Es de la mayor importancia para la religión, y particularmente para el Estado, que los pastores en estos países sean claustrales. Empeño el zelo cris tiano de V-. E. á fin de que se ado…</t>
  </si>
  <si>
    <t>Fons, Antonio</t>
  </si>
  <si>
    <t>Antonio Fons</t>
  </si>
  <si>
    <t>…principal del mismo ramo, establecida en ei piso principal de la casa de cor reos de esta corte, donde se admitirán las que se hicieren siendo arregladas. Se ignora el paradero de D. Antonio Fons, natural de Niort, obispado de Alet, provincia de Lenguedoc, en el reino de Francia: fue farriel general del Real cuer po de Guardias de Corps, hasta que S. M. se sirvió concederle su retiro en la pla za de Barcelona. Solo consta que en ío de Agosto de 1806 o…</t>
  </si>
  <si>
    <t>Fons, Fernan do</t>
  </si>
  <si>
    <t>Fernan do Fons</t>
  </si>
  <si>
    <t>…de la misma. También consta que salieron de tenientes en 23 de Agosto de 1807, el primero del regimiento de in fantería de Toledo, el segundo del de España, y otro hermano llamado D. Fernan do Fons de alférez del de Hibernia. Ignorándose si vive ó ha muerto el referido D. Antonio Fons, se desea tener esta noticia, á fin de que él ó sus legítimos here deros, legitimando sus personas, puedan acudir á hacerse cargo de algunos bienes íjue le pertenecen en M…</t>
  </si>
  <si>
    <t>Font, Josef</t>
  </si>
  <si>
    <t>Josef Font</t>
  </si>
  <si>
    <t>…uientes : En Mallorca. El gobierno del castillo de la isla de Cabrera á D, Fran cisco Guillen, alférez del regimiento de dragones de Numancia; y la ayudan tía del de Cap de Pera á D. Josef Font, subteniente agregado á la compañía de inválidos hábiles de Pamplona. En América. El gobierno é intendencia de Durango al brigadier D. Die go García Conde, y el de castellano de Acapulco al teniente coronel D. An tonio Lefdael, capitán del regimiento de infan…</t>
  </si>
  <si>
    <t>Fontan, Domingo</t>
  </si>
  <si>
    <t>Domingo Fontan</t>
  </si>
  <si>
    <t>…tar por protector é individuo suyo á S. A. R. el Sermo. Se ñor Infante D. Carlos , se anuncian al público los artículos comprendidos en -ella, y que según relación dada por el Dr. D. Domingo Fontan, catedrático •de matemáticas elementales,,y director de la academia de matemáticas física y química son los siguientes :¡ un círculo repetidor de Borda de 17^ pulgadas ae diámetro construido por Gambey , con toda la perfección que exigen sus jisos bien,conoci…</t>
  </si>
  <si>
    <t>Fonzi, Josef</t>
  </si>
  <si>
    <t>Josef Fonzi</t>
  </si>
  <si>
    <t>…ma, la sociedad ha querido manifestar sus deseos de conformarse á lá circular que con fecha de .5 de Setiembre del año pasado de 1817 expi dió el-supremo Consejo de la Guerra. \ I D. Josef Fonzi, dentista napolitano , establecido en París, y residente actualmente en Madrid i quiere antes de volverse á Francia ofrecer sus servi cios al público en todas las operaciones de su arte, y en particular haciendo dientes térro-metálicos incorruptibles, y para…</t>
  </si>
  <si>
    <t>…el primero de los anuncios publicados en la gaceta del sábado próximo pasado 13 del corriente, acudirán á la escribanía de pro vincia de D.‘Luis López dé Castro.Otra. El dentista D. Josef Fonzi, de que se habló en la pág. 603 de la gaceta del jueves anterior, vive en la fonda del Norte, corredera alta de S. Pablo. EN LA IMPRENTA REAL. ~</t>
  </si>
  <si>
    <t>Fr</t>
  </si>
  <si>
    <t>…. Don Manuel López Araüjo, consejero de Estado, y D. Miguel Gayoso d&amp; Mendo za , señor de Ruvianes, grande de España de primera clase, el M. Iltre. Señor abad de S. Isidro de León D. Fr. Teobaldo Rodríguez Gallego, el lectoral de la metropolitana iglesia del apóstol Santiago D.,Andrés Ribera y el Di. Don Josef Lamas Pardo, rector de la referida universidad de Santiago: este aren gó á SS. MM. y AA. en los términqs que manifiestan los siguient…</t>
  </si>
  <si>
    <t>939</t>
  </si>
  <si>
    <t>…juventud una filosofía análoga á toda ciencia ó facultad, á que en lo sucesivo quiéra dedicarse, ha adopta do el nuevo curso, compuesto y dado á luz, de orden del Rmo. P. vicario general Fr. Ramón Guerrero, por el P. Mtro. Fr. Felipe Puigserved, que: re-</t>
  </si>
  <si>
    <t>…los días 20, 21, 22 y 23 de Julio último á público - examen de catecismo, leer y escribir, aritmética, latinidad, retórica y poesía á sus discípulos, bajo la protección del limo. Sr. D. Fr. Raimundo Strauch , dignísimo obispo de Vich. Presidió los egercicios el M. I. Sr. arcipreste de dicha villa D. Josef Portell, siendo muy grande el concurso de sugetos instruidos que asistieron de los lugares vecinos, hasta de Vich y Manresa. Recitaron en sus…</t>
  </si>
  <si>
    <t>…ros franceses de la con gregación de S. Vicente de Paul y dos italianos franciscanos: 18 sacerdotes del pais: unos 35® cristianos: religión cristiana prohibida: vicario apostólico D. Fr. Joaquín N., obispo Euriense. Tunkin orientai.. JLa mitad del reino hacía el oriente: un obispo con su coadjutor y cinco misioneros dominicos españoles (8): 66 sacerdotes del pais: unos 190® cristianos: religión cristiana tolerada: vicario apostólico Don Fr.…</t>
  </si>
  <si>
    <t>…de Hainan. El obispo es portugués, de la orden de S. Francisco: hay cinco sacerdotes del pais: unos 7© cristianos (2)'. la religión cristiana está pro hibida en estas provincias: obispo D. Fr. Francisco de nuestra Señora de la Luz. Pekín (3). Provincias de este obispado: Pe-che-lij Xan-Tung y LeaoTung ó Tartaria oriental. Un obispo portugués residente en Macao *. en la ca pital tres misioneros portugueses de la congregación de S. Vicente de Paul y…</t>
  </si>
  <si>
    <t>…tado actual de la casa de Be neficencia , fundada en esta ciudad por el Excmo. Sr. capitán general Don Francisco'Xavier Elío, sostenida por los auxilios de S. E., del Excmo. Señor arzobispo D. Fr. Veremuudo AriasTejciro, y limosnas del público, y nueva-</t>
  </si>
  <si>
    <t>Fr.ancisco</t>
  </si>
  <si>
    <t>…ezcan por sí ó po~ apoderádo en el juzgado de] Sr. D. TadeR Sol~r, rninistro electo del Consejo Real" alcalde decano, de la Real -Casa y Corte,' po'r,la escriba,nÍa de provincia?e D. Fr.ancisco :Montoy~ t á ~ecir y ale~B;lr, 4e $1 derecho en la dem~nda de reclamaclon de dIchos vales; en lntehge~c.la· q~e ~l perjuicio que hay.a lugar en instancia. ,: .... '. . J., de no hacerlo les parará : , Por el mismo juzgado y escrioariía', y' para' pago de acre…</t>
  </si>
  <si>
    <t>Fraiieised</t>
  </si>
  <si>
    <t>…l Granados, D. Josef Quintanilla, Don Juan Antunez, D- Juan Bellido, D. Manuel de la Serna , D. Rafael Grana dos, príncipe de la doctrina cristiana, y D. Martin Saenz, de Lebrija: Don Fraiieised1 González y D. Josef Martínez , de Sanlucar de Barrameda : D'. Josef Moreno, D. Manuel Felipe Caballero, D* Gaspar Angulo, D. Josef Gó mez Hormigo y D. Francisco Rodríguez, de Jerez : D. Josef Auñon, de Mo ren : D. Juan Aguado, de las Cabezas: el hermano Jose…</t>
  </si>
  <si>
    <t>Fran</t>
  </si>
  <si>
    <t>…invariables. Es regular que dentro de poco se ocupe la Dieta en estos objetos. AUSTRIA. * ' 1 1 Viena 3 de Diciembre. Se asegura que el destino de canciller supremo recaerá en el conde Fran cisco de Sauraw, actualmente gobernador de la Lombardía. Parece que él Archiduque Ranerio irá muy pronto á su vircinato de Italia, pues ya están nombrados los oficiales de su guardia. El conde deTrautmansdorf reemplazará en la embajada de Munich albaron de We…</t>
  </si>
  <si>
    <t>…efensa he concedido interinamente el grado inmediato al referido Alvarado, al subteniente del mismo regimiento de Celaya D. Valentín Canalizo, á los sargentos del expresado cuerpo D. Fran cisco Tabera y D. Luis Almaraz, al del Príncipe D. Felipe Carvajal, y a"* los oficiales de realistas que existían allí, de que daré cuenta á V. E. opor tunamente para que se sirva alcanzar la aprobación de S. M., y he dado á todos los que componían aquel pequ…</t>
  </si>
  <si>
    <t>…la Real cédula de 11 de Febrero de 1774; y suplica á S. M. se sirva acordarlo asi, como también nombrar por emplea dos de dicho juzgado privativo á los sugetos que propone; y son D. Fran cisco Xavier Adell, consejero de Ordenes, para asesor; el Dr. D. Mariano Lafuente y Poyanos, agente fiscal del Consejo de Castilla, para promotor fiscal; D. Ramón Lorenzo Calvo» escribano de Cámara dei Consejo deGjuer-</t>
  </si>
  <si>
    <t>…a ia de Javaiquinro á IX Juan Ramón de Ibarra : para él corregimiento de Sétenil á D. Eufemia no María de Estrelle ra: para el de Zahara á D. Pascual Estruch; y para eFde-Beceta á D. Fran cisco de Paula Perez Rangel. Por Real orden de 26 de Enero de este año ha tenido á bien S. M. man* dar se saquen á oposición una de las cátedras de matemáticas y la de lengua francesa, que se hallan vacantes en su Real casa de caballeros pagas dota das la pri…</t>
  </si>
  <si>
    <t>…del 23 del corriente salí de esta plaza y como vmd. me previno en su oficio de 22 del mismo, llevando á mis órdenes 30 infantes de Celaya y realistas de esta ciudad, al mando del teniente D. Fran cisco Qainta ni lia, 18 realistas de caballería á las del capitán D. Josef María Arancibia, 10 dragones del Príncipe, y 14 realistas de Panales á las del te niente 0. Pedro García, y 26 realistas de S. Josef a las del teniente D. Va lentín Vera, con el objeto…</t>
  </si>
  <si>
    <t>…gracia de este hombre ahogado. Eitampisque se hallan venales en la calcografía de la imprenta Real. El naci miento de Jesucristo en pliego de marca imperial, copiado del cuadro de D. Fran cisco B.iyeb, pintor de Cámara de S. M. Católica, que se conserva en el convento de íi. Pascual de Aranjuez, grabado ppr D. Fernando Selma, á 60 rs.^Nuestra Seño ra cíe ía Perla en pliego de marca mayor, del cuadro de Rafael de Urbíno, que se conserva en S. L…</t>
  </si>
  <si>
    <t>…fecha, á IX Juan Mauricio Oguena, sus hijos, herederos ó sucesores, para que por sí; ó por ¿hedió de procu rador con poder bastante, se muestren parteen el expediente formado por D. Fran cisco Carro, vecino de la villa de Báena, sobre reintegro de un vale Real de 300 pesos de la creación de i.° de Eneró 5 dé 1809;' con apercibimiento que no verifi cándolo-dentro'de dicho término‘Icé parará el perjuicio que'haya lugar.' 1 ~ &gt; Ramón Lope Marcos…</t>
  </si>
  <si>
    <t>…oquia de Serantes, concejo de Castropol, que le fueron ofrecidos en el año anterior por la conservación de Too limoneros que entonces acreditó- tener prendidos: 400; rs. al propio D. Fran cisco porque justificó tener prendidas y dando fruto 6600 cepas: 400 rs. al mismo pór haber egecutado ún1 vivero de pinabetes, de extensión de 7 dias y medio de bueyes, cuyos' arbolitos tiene bien nacidos y cuidados: 400 rs. á Doña Josefa López Trelles, viuda…</t>
  </si>
  <si>
    <t>…z. 4, contiene su sitio 5191 pies deuárea, tasada en 302212 rs. !^ persona-que quiera -hacer; postura acudirá ante dicíio señor por la escribanía de provincia, que está á cargo de D. Fran cisco Montoya , que se admitirán las que se hagan siendo arregladas. Domingo Mer,-de estado casado en Madrid, y natural de Tuy en el reino de Galicia , hallándose en Cádiz .al tiempo de la invasión de esta capital, fpe incorpora do en el cuerpo de tiradores d…</t>
  </si>
  <si>
    <t>…ral de la provincia de Cumaná, que es como sigue: ,, Excmo. Sr.: Tengo el honor de -dirigir á V. E. la adjunta copia del parte que con fecha 14 del actual me pasó desde Cariaco el coronel D. Fran^ cisco Ximenez, y por ella se impondrá V. E. de sus operaciones para la to ma de este punto, y de la pérdida que sufrieron los enemigos de gente, ar^ mas y municiones, resultando ser la nuestra de muy poca consideración res pecto de la de aquellos, siendo asi…</t>
  </si>
  <si>
    <t>…¿ tMiguel Antonio Oyarzabal 6 , D. Joaquín/ Emazabei 4, D. Antonio Delgado 4 , D. Vicente.Sarria 4, D. Marcial Bei*7 mudez 4, D. Joaquín Reina y Capetilío 8, D. Francisco Espar 6, D. Fran cisco Ríos i , Sr. marques dy Mijares 2 , D. Lorenzo Solórzano 10, D. Pe dro Josef Solórzano 16, DvJuan; Jósef Echezuria y Echeverría 6 &gt; D. Pablo Gascue ■*, D. Manuel Manrique y Sierra 6' ,T). Feliciano Palacios 6yD. Juan • Josef Bahamondé 6 , D. Manuel Garc…</t>
  </si>
  <si>
    <t>…e Mariana&gt; Fr. Lope Félix de Vega Carpió, D. Antonio Solis, y D. Nicolás Antonio: 2.° el cardenal Gil Albornoz, Gonzalo Fernandez de Córdoba, el gran duque de Alba, Arias Montano, D. Fran cisco Quevedo y Villegas, y D. Juan de Ferreras. (ÍV continuarán.') Por el juzgado de provincia del Sr. D. Andrés Oller,. del Consejo de S. M., al calde de Casa y Corte, y escribanía de D. Juan Antonio Diaz Nonega que regenta el infrascrito escribano D., Pedr…</t>
  </si>
  <si>
    <t>…matrimonio entre S. A. R. la Princesa Doña Luisa Carlota, hija de S. A. R. el Duque de Calabria, Príncipe here dero del reino de las Dos Sicilias, y S. A. R. el Infante de España D. Fran cisco de Paula, hijo de S. M. el Rey Cárlos iv, y habiendo S. M. Católica Fernando vii .comisionado al Excmo. Sr. D. Pedro Gómez Labrador, su embajador extraordinario cerca del Rey nuestro Señor, para pedir la mano de dicha Princesa á sus augustos Padres, se…</t>
  </si>
  <si>
    <t>…ocupando la derecha é izquierda: del bosque , y proseguimos batiéndole hasta la salida de él. Su mayor fuérza la dirigió por la derecha , que sostenía él subteniente de cazadores D. Fran cisco V^elasco, cuyo oficial con sus acertados fuegos hizo replegar al enemigo, » y que se encontrara con la sexta compañía que cubría la retaguardia con ua¡ cañón ai cargo del teniente D&gt; Ignacio Nieto, que los recibió con un soste nido fuego de fusil y un t…</t>
  </si>
  <si>
    <t>Fran, JuanMáximo</t>
  </si>
  <si>
    <t>JuanMáximo Fran</t>
  </si>
  <si>
    <t>…éndolo,dé. Ñipóles, ckéq en Ca i.\¡Cr¡séóbáhFrhn beza de su sobrina Doña Rosalía Franchi, y afecto á lbsT.mayorazgds qué pó* see, y después de los diks de esta-en la de su marido.'D. JuanMáximo Fran chi , unido á los: mayorazgos de que es poseedora,: para sí y sus sucesores perr petuamente, en consideración á la distinguida nobleza y servicios de ambas familias. . El Rey nuestrorSeñoc sé ha servido conceder su ReaFpermiso á D. Rafael Ximenez de Velasco,…</t>
  </si>
  <si>
    <t>Fran, María</t>
  </si>
  <si>
    <t>María Fran</t>
  </si>
  <si>
    <t>…a el cuerpo diplomático , y ocupando sus res pectivos puestos los gefes de palacio, la camarera mayor y damas de la Reina nuestra Señora , la camarera y damas de la Serma* Infanta Doña María Fran cisca de Asís, y las señoras de tocador, detras de las cuales, y á la derecha del solio, los mayordomos de S; M., y á la izquierda los oficiales mayores y exentos del cuerpo de Guardias de la Real Persona. Los nombrados para testigos por parte de S. AÍ: el Re…</t>
  </si>
  <si>
    <t>Franchi, Rosalía</t>
  </si>
  <si>
    <t>Rosalía Franchi</t>
  </si>
  <si>
    <t>…elevar í la dignidad de título de Castilla el de marques de la Candía, concedido por el Sr* Rey D..Cáelos.ni. siéndolo,dé. Ñipóles, ckéq en Ca i.\¡Cr¡séóbáhFrhn beza de su sobrina Doña Rosalía Franchi, y afecto á lbsT.mayorazgds qué pó* see, y después de los diks de esta-en la de su marido.'D. JuanMáximo Fran chi , unido á los: mayorazgos de que es poseedora,: para sí y sus sucesores perr petuamente, en consideración á la distinguida nobleza y servicios de…</t>
  </si>
  <si>
    <t>Francis</t>
  </si>
  <si>
    <t>…que se hallaba primorosafnenté ador nado y autorizado con el retrato de S. M. Presidió el acto su vice-director el señor marques de Viiiores, teniendo á su derecha al Exento, $r. D. Francis co Xavier Elfo, capitán general de este egército y reino, y se dio principio por un discurso que leyó el secretario D. Vicente María de Vergara, mani festando cuan agradable ha sido para el cuerpo en el año social que concluía, y lo será en el que va á comenz…</t>
  </si>
  <si>
    <t>…o, los tenientes D. Josef del Cerro , Doq Guillermo Pinilla, D, Domingo Verastigui, los subtenientes D. Josef Cea, D.* Nicolás Calderón y D. Vicente García : heridós los tenientes D. Francis co Latorre, D. Castor. Martínez y ef iubténkme DÁ Francisco Aldana: los</t>
  </si>
  <si>
    <t>…e 12 pulgadas y media , y la de la hembra de 13. La partera Doña Antonia Chavo, que asistió á este parto, dio inmediata mente parte al comadrón D. Manuel. Lósela, que en unión con D. Francis co Flores Moreno, médico de Cámara de número de S.-M., y protomédico de esta ciudad, asistieron á la madre, y observaron cuidadosamente estos extraordinarios fetos hasta el dia 4 del corriente en que murieron. Los dos ha blan sido bautizados en ia santa igles…</t>
  </si>
  <si>
    <t>…§rf= Pascual de Líñan. = Excmo. Sr. virey D. Juan Ruizde Apodaca.” . ¡ Parte del teniente coronel D. Josef Cristóbal Villaseñor. , ,,En cumplimiento de la órden que me comunicó el coronel D. Francis co de ¡Orran tíar salí anoche de este campo con 300 caballos, compuestos de los cuerpos de Frontera ; Provindss , dragones de Sierragorda ■ y S. Carlos, dirigiéndome á la hacienda de S. Isidro, adonde llegué un poco antes de amanecer. Ir.mediat?mente dispuse…</t>
  </si>
  <si>
    <t>…aber: las 38® de carbón grueso pa ra las servidumbres de los Reales oficios de ramillete y cocina, y las 12$) res*tantes de canutillo para’eí uso ,de: los braseros, acudía ante él Sr. D. Francis co Xavier de Ojeda, del supremo Consejo de Hacienda, jifez asesor générsrt de la Real Casa* y Patrimonio, y por la escribanía de comisión de D. Juan Villa y Olier, con el pliego de proposiciones, bajo de las cuales se obligue á hacer el surtido en los término…</t>
  </si>
  <si>
    <t>Francis, Josef</t>
  </si>
  <si>
    <t>Josef Francis</t>
  </si>
  <si>
    <t>…D. Juan Estéban Arraiz de Conderena, otros pár rocos de varios pueblos , y mas de 200 personas que acudieron al acto, pre sentados los niños por D. Juan Miguel de Goñi, y su hijo D. Josef Francis^ co, prrfesores de primera educación, á cuyo cargo estaba confiada su ense ñanza. En las tres horas que duraron por la mañana los egercicios se examicarón 40 niños en doctrina cristiana, lectura, escritura, aritmética, gra mática y ortografía castellana, sobr…</t>
  </si>
  <si>
    <t>Francisbo</t>
  </si>
  <si>
    <t>…. el Emperador. Entré lés nue* vós académicos que con este motivó han de ser nombrados se cuenta á S. M. la Emperatriz , al Archiduque Maximiliano, á S. A. R. él Infante de España D. Francisbo\ al marques de Mariaiva, que llegó ayer de Roma, y alembájadór dé Francia el conde de Caráman. ' ' * * ; ^ ; : : T ;" v':; ;■ r - l-" ' ■ - Idem 12'.' • El diá 22 del pasado, habiéndose presentado á S. M. el Emperador‘■ún§ diputación dé los estados de la Gaüi…</t>
  </si>
  <si>
    <t>Francisca, María</t>
  </si>
  <si>
    <t>María Francisca</t>
  </si>
  <si>
    <t>…a'Real academia de S. Fernando/á ciryoacto se dignaron concurrir SS. MM. con los Sermós. Sres. Infantes D. Carlos , gefe principal de lásf academias y cuelas artísticas del reino, Doña María Francisca dé Asís-, su augusta esposa^ y D. Francisco de Paula, consiliario demérito de lá academia. , El Excmo. Sr. D. Jósef Pizarra, primer Secretario de Estado^ protector, con el vice-proteelor y un lucido concurso de grandes y caballeros, individuos todos de la aca…</t>
  </si>
  <si>
    <t>Francisco</t>
  </si>
  <si>
    <t>…l presidio de la bahía , con cuyo motivo tomé la determinación de dejar el cerco con 7a caballos y 30 infantes entre soldados y paisanos al mando del teniente vete rano de Colonia D. Francisco de la Hoz , á quien di mis instrucciones, y yo me restituí al presidio con los pocos hombres que me restaban para no aven turar lo mas por lo menos; pero el citado Travieso retrocedió sabedor de mi aproximación, y creído que yo tenia grandes fuerzas á mis órd…</t>
  </si>
  <si>
    <t>14,,Me han causado la sensible pérdida de un cabo, 3 soldados y un pai sano muertos, y heridos el teniente veterano D. Francisco de la Hoz, el de igual clase de milicias de Bahía D. Josef Guadalupe Santos, un cabo , un tambor y 5 soldados, y también lo fueron levemente algunos paisanos de la Bahía , y uno de los de esta clase muerto. „Han quedado en mi poder 27 fusiles, 4 escopetas, 12…</t>
  </si>
  <si>
    <t>…ldes mas de su gavilla , -sin mas pérdida por parte de Pachano que un ca lador contuso de un fledhazo. „ Asimismo la guerrilla de caballería de esta plaza, al mando de su bi zarro capitán Francisco ;X*vier González palias Palmero), há logrado ven tajas muy considerables sobre los enemigos en las distintas salidas que ha he cho en busca de ganado para suministro de esta guarnición; pero instruiré á "V. S. ligeramente de la que acaba de conseguir mas sobr…</t>
  </si>
  <si>
    <t>…mas y efectos. „ Por este útil servicio dice el enunciado virey que ha concedido el grado de coronel al teniente coronel Martínez, y el inmediato en su clase al tenien te veterano D. Francisco de la Hoz y al de milicias D. Josef Guadalupe Santos. ,,Que una partida , que se había separado del faccioso Perry al cargo del malvado español Vicente Travieso, cayó en manos del capitán D. Luciano García en la colonia del Nuevo-Santander, haciéndoles 28 pri…</t>
  </si>
  <si>
    <t>…rey al mariscal de campo D. Pascual de Liñan. „He recibido el oficio de V. S. núm. 159 de 3 del corriente, y parte que acompaña de los pormenores con qiie le comunica el coronel . D. Francisco, de Orrantía la prisión del traidor Mina y de los 25 rebeldes que inmediata mente lo acompañaban, como también la destrucción de la gavilla que se hallaba con él. , ,,Tengo dicho á V. S. que he concedido al expresado gefé el grado de coronel de egército, y re…</t>
  </si>
  <si>
    <t>…e por desgracia las calamidades de los años anteriores habían hecho que fuese menos comunjy convocado concurso de. opositores, tuvieron la felicidad de poder conferir este cargo á D. Francisco</t>
  </si>
  <si>
    <t>…gnora si es muer to ó vivo; y correspondiéndole cierta herencia por fallecimiento del teniente coro nel D. Martin Luengo, secretario que fue del vireinato de Navarra, tío de dicho D. Francisco, que murió el año de 1813,desean saber los testamentarios la existen cia del citado D. Francisco, para proceder á lo que corresponda en caso de haber fallecido intestado ó de otra'forma, cuya noticia se dará en la ciudad de Pamplona i D. Antonio Hera, escriba…</t>
  </si>
  <si>
    <t>…reflexiones deS. Mt En seguida se traslada S. M. al picadero , yen 4*1, por ¡su soberano man»* dato, se presentó á trabajar á caballo el director del Colegtoamlitar de Equita ción D. Francisco de la Iglesia y Darrac, quien manejó su caballo en diferen tes aires, y manifestó los elementos de una ciencia tan precisa á la caballería* Concluido el acto, se levantó S. M. entre los vivas y aclamaciones de todos los individuos de aquélla casa , dándoles á…</t>
  </si>
  <si>
    <t>-colegio de Exultación D. Francisco de la Iglesia y Darr&amp;c, previo el permiso de S. M.,t Ies manifestó en verso ios sentimientos de gratitud de jodo él esta blecimiento. Después montó á caballo , y trabajó de una pista y de dos en las marchas naturales de paso, trote y galope; demostrando con l…</t>
  </si>
  <si>
    <t>…regidor de esta fnuy heroica Villa, refrendada por D. Martin Santin y Vázquez, escribano de su número, se cita, ,’liama y emplaza.á todos los acreedores á los bienes dimitidos por D. Francisco de las Barcenas, dé esta vecin dad , para que dentro de 15 dias, primeros jsigu»ent£s al de este anuncio, que por primer término se les señalan, acudan á presentar sus respectivos créditos, y pedir lo que Ies convenga por sí ó por medio de procurador con pode…</t>
  </si>
  <si>
    <t>…páñerós^ creadores de las ciencias exactas. ' ' M ;t La prontitud , soltura : y propiedad con que todos los alumnos contesta-» ron á las muchas preguntas que les fueron hechas por D. Francisco de. Paula Maestre, profesor de lá, escuela , y D.JPedro, topez*Muñoz, su auxiliar, y la facilidad y expedición con que resolvieron las cuéstjones que les fueron pro-* puestas, no daban casi lugar al juicio de preferéracia:entre ellas,¡ y compro^» barón de un…</t>
  </si>
  <si>
    <t>FranCISco</t>
  </si>
  <si>
    <t>…q- , da á la audiencia -de dicho señor y referida escriba~a .. d&lt;?qde ~e, adtmtlran las .q~e ,¡.'fliciere~. s~endo.·ari'egladas.' ,: ....., " . ,¡I' .'. Se cita, llama y emplaza a D. FranCISco losefP;J.von y MUDOZ, D., Josef fu;;Q Villanueva y 'D. Ramón' dIe .AngÍllo, teJ1edo;~s respeét~vós i I.d.emas }nteresado~ '({n /r~s y"~l~s,~eal~~t el uno~e'.i50 pes?sde!. de Enero, de 1808.11, flu~ero.294733: otro de' 3'00 pesós de la mIsma creaClon t numero…</t>
  </si>
  <si>
    <t>…ino de la . ciudad de Sangüesa, D.r Iñigo de Medina y Saavejlra, la villa de Buñol, D. Josef López Fernandez de Heredia, vecino de Calatáyud, Abad y cabildo parroquial de Segovia, D. Francisco de la Mata Linares, iglesia colegial de Escalona, capilla'dé nuestra Señora de Gracia de Madrid, arzobispo de Santiago, santos' lugares de Je-* rusalen, D. Pedro Josef d¡e Beri , vecino dé lá ciudad de; las i Palmas/'eL lvirey Amat, D. Joaquín Quintana y D. F…</t>
  </si>
  <si>
    <t>…fue de voluntarios de Aragón, y Dona María G-arca y Velillas, su muger , y de su* dos hijos D. Francisco de Paula y Dona María Josefa de Frías, que parece murieron abintestato, el D. Francisco en el año de 1812, siendo ya capitán del regimiento in fantería primero dé Saboya, y la Doña María Josefa en 27 de Junio de 1814, estan do casada con el capitán de los Reales egércitos D. Genaro Gílabert; para que acudan á deducirlo y exponerlo en debida form…</t>
  </si>
  <si>
    <t>…usto Hermano, con la muy alta y muy poderosa Princesa del reino de las Dos Sicilias Doña Luisa Carlota, ni ja de los Serenísimos y muy excelsos Príncipes herederos del mismo reino D. Francisco y Doña María Isabel , Duques de Calabria ; y para que asi se verificase, S. M. el Rey nuestro Señor trató con S. M. el Rey del reino de las Dos Sicilias, habiéndose convenido amistosa y recíprocamente por medio de los ministros comisionados al efecto, que lo fueron de la una par…</t>
  </si>
  <si>
    <t>…l escribano de provincia y comisiones de la misma D. Manuel López de Rivas, se ha acordado convocar á una junta general de todos los interesados y acreedores á la testamentaría de D. Francisco de las Barreras, vecino y del comercio que fue de esta corte, y ha señalado para ella el día 30 del corriente mes de Noviembre, á las nueve de la mañana, en la posada de S. S. Lo que se avíéa por medio del presente periódico, para que llegue á noticia de los…</t>
  </si>
  <si>
    <t>…laración de herederos que se solicita por Doña Damiana Diaz de Durana , viuda de D. Juan Joaquín de Basterra, y Doña Rodriga Francisca de Basterra, madre y hermana respectiva, del D. Francisco; con apercibimiento que no lo hacíendp jen dicho término,. les parará el perjuicio que haya lugar. ; : , ! La plaza de médico de Villarubia de los Ojos de Guadiana, provincia de la Mam? cha, se halla vacante: su dotación es de n® rs. v.n. anuales, pagados por…</t>
  </si>
  <si>
    <t>…ur, del Sena^ ESPAÑA. ' ; México 28 de Junio. ‘ , Continuación de los; partes de Nueva-JEspaña. Parte del teniente coronel y comandante D. Josef Cristóbal Villaseñor al comandante general D. Francisco cíe Cruizarnótegui. ,,Por un correo interceptado al apóstata Dr. Magos supe el 25 del pasado próximo Mayo que convocaba este mandarín intruso á los cabecillas Ortices y gavillas de Jalpa para el 2 de este en la hacienda de Charcas, con el obje to de que ellas…</t>
  </si>
  <si>
    <t>Francisco, IX</t>
  </si>
  <si>
    <t>IX Francisco</t>
  </si>
  <si>
    <t>…co mandante de una partida de caballería exploradora de la sección de Tulaacingp, que á su llegada al Grangenal encontró la caballería de Rioverde; y en seguida ordené al teniente coronel IX Francisco de las Piedras, coman dante de toda la tropa de esta arma* tratase de reunirse inmediatamente á Terrazas y Villaseñor, para marchar sin pérdida de momento contra el enemigo, pues que la infantería les seguiría á toda costa. Egecutadb asi puntual* mente, llegó…</t>
  </si>
  <si>
    <t>Francisco, Joaquín</t>
  </si>
  <si>
    <t>Joaquín Francisco</t>
  </si>
  <si>
    <t>…edores é interesados al mencionado concuaso, para queden el preciso tér mino de 30 dias-se presenten*y persoñén én la misma Real audiencia y su escri banía, de cámara del cargo de D. Joaquín Francisco de la Rosa , por sí ó por medio de procurador con poder bastante, á usar de su derecho en los’ expresados autos; con apercibimiento de que pasado sin haber comparecido, se sustanciarán los autos en rebeldía con los estrados, y les parará el perjuicio que haya…</t>
  </si>
  <si>
    <t>Francisco, Lorenzo de</t>
  </si>
  <si>
    <t>Lorenzo de Francisco</t>
  </si>
  <si>
    <t>…miados fueron los siguientes: En la Real escuela de dibujo y nobles artes r premio superior á D. Matías Lureña. En dibujo de cabezas: premio i.° á D. Inocente Martin Rubio,. 2.0 á D. Lorenzo de Francisco En extremos á D. Manuel de Peralta Malo. En perfiles mayores: i.° á D. Patricio Fresno, 2.0 á D. Andrés Bullido; En per files menores á D. Antonio de Castro. Em aritmética. á. D;. Blas Crespo..</t>
  </si>
  <si>
    <t>Francisco-Ruz</t>
  </si>
  <si>
    <t>…, D. Toribio Espinosa 20, D. Juan Plá 5 , D. Lo renzo Treillan- 5 , D. 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Sres. Perez y Chaves 4, D. Ramón Gutiér rez 6, D. Feliciano Borges 4, D. Josef Herná…</t>
  </si>
  <si>
    <t>Franco</t>
  </si>
  <si>
    <t>…El teniente coronel D. Amonio García Rojas con fecha da ayer á las siete de la noche desde Tangancícuaro entre otras cosas me dice lo siguiente: ,, A las nueve de anoche mandé al teniente Franco al cerro de Casas Vie jas á sorprender á la gavilla de González, en donde logró coger 10 rebeldes, y ademas al perverso teniente y alcabalero de Purépero, que tanto tiempo ná. perseguimos, á Luciano Castillo con otros dos que le acompañaban, y á unos y á otro…</t>
  </si>
  <si>
    <t>Franco, Benito</t>
  </si>
  <si>
    <t>Benito Franco</t>
  </si>
  <si>
    <t>…, y heridos de gravedad los capitanes de lanceros del Rey Don Regino Landaeta y Gil González; los.alféreces Gregorio Rivas y.VÍcenteBermudez, y el teniente de dragones.de la Union D. Benito Franco, con 21 soldado*; mas. Todos los gefes y oficiales se han portado con la mayor bizar ría, siendo .cada ,uno un héroe ; pero en particular debo recomendar á V. E. por el mérito que contrajeron por sus disposiciones los tenientes coroneles gra duados comandante…</t>
  </si>
  <si>
    <t>…caballería del Rey D. Francisco Nuñez, D. Sebastian Barrondo, D. Josef Antonio Martínez,' D. Félix Solórzano y D. Felipe Ramos, que fueron incansables en matar ene migos , como el teniente D. Benito Franco y el alférez D. Miguel Chaparro, todos los que se han hecho acreedores á que V. E. tenga la bondad de elevar su mérito al conocimiento de S. M. Dios guarde á V. E. muchos años. Paso Real del Caiman á 21 de Marzo de 1818. = Excmo. Sr.=: Rafael López. = jExcmo.…</t>
  </si>
  <si>
    <t>Franco, Luis</t>
  </si>
  <si>
    <t>Luis Franco</t>
  </si>
  <si>
    <t>…que por segundo se les concede desde el de su anuncio en la gaceta y diario de esta corte, á D. Manuel Saenz del Prado, D. Lorenzo Fernande^de León, D. Juan Lorenzo Sánchez Cueto, D. Luis Franco, Doña Librada Perez Escovar, D. Joa quín Antonio Román, los Sres. Alzueta y Beratarrechea, D. Rafael Rodríguez, D. Juan de Dios Elias, los Sres. Bohe, hermanos y compañía, D. Mariano de Urbieta, D. Josef Uhicon, D. Ignacio Suarez, D. Francisco Antonio Abadía,…</t>
  </si>
  <si>
    <t>…o de 8 días, que por tercero y último se les concede, contados desde su publicación, á D. Ma nuel Sánchez del Prado, D. Lorenzo Fernandez de León ,- D. Juan Lorenzo Sánchez Cueto, D. Luis Franco, Doña Librada Perez Escovar, D. Joaquín Antonio Ro mán, los Sres. Alzueta y Beratarrechea, D. Rafael Rodríguez, D. Juan de Dios Elias, los Sres. Bohe, hermanos y compañía, D. Mariano de Urbíeta, D. Josef Uhicon, D. Ignacio Suarez, D. Francisco Antonio Abadía,…</t>
  </si>
  <si>
    <t>Franco, Manuel</t>
  </si>
  <si>
    <t>Manuel Franco</t>
  </si>
  <si>
    <t>…D. Pablo Gascue ■*, D. Manuel Manrique y Sierra 6' ,T). Feliciano Palacios 6yD. Juan • Josef Bahamondé 6 , D. Manuel García de Noda 2 , D. Francisco Cartagena 6, jb. Jaime Cedo 4, D. Manuel Franco y, D. Ignacio Sosa 6, D* Bernardo Ferrara 6 , D. Juan Lander 4, Doña María Gerónima Tovar 4, D. Andrés . de Ibarra 1, D. Juan de la^ Madriz: 3 , D.; Josef María Madriz. 1, D. Juan Josef Rivas y Pacheco 2, D. Lorenzo Lasa 8, D. Fernando Solórzano 10, tÍ), Pedr…</t>
  </si>
  <si>
    <t>Franklin</t>
  </si>
  <si>
    <t>…Buchan, acostumbrado á recorrer eí peligroso mar de Terranova; el ca pitán Ross, qué ha pasado muchos años en las costas dé Dinamarca y en medio de los hielos del mar Báltico;.el teniente Franklin , compañero deí cé* íébre Flindérs, y el teniente Parry, autor de una Astronóinía ndutica. LásL instrucciones dadas á estos hábiles é intrépidos marinos les señalan corno punto dé teúnioñ él iesírécbó de Behring, - al5 éíiál:debe ir á pár&amp;r ‘’tódó paso qué se…</t>
  </si>
  <si>
    <t>Franques, Cayetano</t>
  </si>
  <si>
    <t>Cayetano Franques</t>
  </si>
  <si>
    <t>…idos , que son: O. Josef Muñoz de Pando D Fe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 previniéndoles que de no acu dir les parará el perjuicio que haya lugar. Quien supiere el paradero de D. Cristóbal Igna…</t>
  </si>
  <si>
    <t>Freicinet</t>
  </si>
  <si>
    <t>…zones políticas las noticias que habían adquirido de su'existencia. FRANCIA. Parts 2/ de Noviembre. Al tiempo que la Francia tiene fija su atención y su curiosidad en el viage del capitán Freicinet, comandante de la fragata Urania, al rededor del mun do, hemos sabido que los ingleses se han anticipado á hacer alguno de estos descubrimientos que creíamos estuviesen reservados al viagero francés. Acaba de recibir el almirantazgo de Inglaterra cartas con f…</t>
  </si>
  <si>
    <t>…os Stuardt,. embajador de; Lnglatefcra. Idem 7. Varios viageros franceses se ocupan actualmente en extender la esfera de nuestros conocimientos. EñTprimer lúgár débeniós contar al capitán Freicinet, comandante de la corbeta Uraniay que salió hace mucho tiempo para el he misferio austral. Va encargado dé determinar la figura del globo, y: de hacer investigaciones sobre las variaciones dé la brújula é intensidad de la fuerza . o—--- -------— ” --- — -- /…</t>
  </si>
  <si>
    <t>Fresno, Patricio</t>
  </si>
  <si>
    <t>Patricio Fresno</t>
  </si>
  <si>
    <t>…á D. Matías Lureña. En dibujo de cabezas: premio i.° á D. Inocente Martin Rubio,. 2.0 á D. Lorenzo de Francisco En extremos á D. Manuel de Peralta Malo. En perfiles mayores: i.° á D. Patricio Fresno, 2.0 á D. Andrés Bullido; En per files menores á D. Antonio de Castro. Em aritmética. á. D;. Blas Crespo..</t>
  </si>
  <si>
    <t>Frías, Joaquín</t>
  </si>
  <si>
    <t>Joaquín Frías</t>
  </si>
  <si>
    <t>…de Estado y del despacho de Marina, dice lo siguiente: „Ayer mañana fondeó en esta bahía el místico de guerra nombrado e Marques de Casteldurius, al mando del'teniente de fragata D. Joaquín Frías, con 12 piezas de artillería, 30hombrea de tripulación y 17 individuas de tropa, procedente de Cádiz, y remitido por el'Eterno. Sr. capitán gene ral y gobernador de allí, á cuya disposición le hallaba este buqué, á la del Excmo. Sr. comandante general de este…</t>
  </si>
  <si>
    <t>Frias, Josef</t>
  </si>
  <si>
    <t>Josef Frias</t>
  </si>
  <si>
    <t>…apitán graduado D. Felipe Mendez, teniente D. Manuel Muñoz, al féreces D. Pedro de Legarreta y D. Feliciano Guerra, y cadete D. Nicolás Gutiérrez. Dragones de Querétaro: alféreces D. Josef Frias, D. Manuel Arre ta y D. Mauro Camocho. Dragones deS. Carlos: capitán D. Domingo ligar te y portas D. Josef Ignacio Ximenez y D. Pedro Alarcon. Fieles del Potosí: capitán graduado D. Mariano Guardiola. Realistas de Apan: capitán D. Joa quín Espinosa y D. Anton…</t>
  </si>
  <si>
    <t>Fuentes</t>
  </si>
  <si>
    <t>212</t>
  </si>
  <si>
    <t>…emprendí mi marcha con dirección á Malinalcó, donde por las noticias que tenia , y las que me comunicó el comandante de aquel punto D. Juan Zamorategui y di orden que el referido capitán Fuentes con el alfé rez Rueda y 30 urbanos , en unión de dicho Zamorategui y i&amp; realistas, sa liese á las 10 de la noche por camino oculto á las pastorías de Qcuila, guiardos por-3 indblrádós y-úna nieger vestida de.hombre que los condujera á los parages donde solían…</t>
  </si>
  <si>
    <t>Fuentes, Agustín</t>
  </si>
  <si>
    <t>Agustín Fuentes</t>
  </si>
  <si>
    <t>…igí al 'pue&amp;p Ede TenanCingo. En ¿1 caminóse módio aviso de que en el cerro de Zietepec se hallaban 100 rebeldes acaudillados por González: dispuse en el momento qué los capitanes D. Agustín Fuentes y D. Vicente González1, y el alférez D. Antonio Rueda con 60 dragones marcharan á batirlos, cua lesquiera que fuesen sus ventajas en numero y posición. Estos oficiales cami naron toda la noche con una lluvia tan tenaz como abundante»y yo con el resto de la caballería de mr mando y…</t>
  </si>
  <si>
    <t>Fuentes, Josef Checa y</t>
  </si>
  <si>
    <t>Josef Checa y Fuentes</t>
  </si>
  <si>
    <t>…s que tuvo su regimiento. „ Asimismo recomiendo á la consideración de V. E. al capitán D. Josef Madera, los tenientes D. Eustaquio Hidalgo y D. Josef Aspiazu, y á ios subtenientes D. Josef Checa y Fuentes, D. Antonio García Liñan y D. Fe lipe Carrasco, todos del regimienro de Burgos, que fueron heridos; á los subtenientes del batallón de la Reina Doña Isabel D. Josef Masanes y Don Antonio Calderón, teniente del de Clarines D. Josef Guillen, y á los subte nient…</t>
  </si>
  <si>
    <t>Fuentes, Juan</t>
  </si>
  <si>
    <t>Juan Fuentes</t>
  </si>
  <si>
    <t>…este tiempo á Cariaco, y encerró la guarnición dentro de la casa-fuerte, que anteriormente los rebeldes habían construido en la igle sia del pueblo, y allí el capitán de milicias D. Juan Fuentes se sostuvo he roicamente por espacio de 4 dias, hasta que habiendo principiado á batir las paredes de la iglesia con un cañón de á 6 que dejaron enterrado en el aban dono anterior los rebeldes, viéndose sin víveres ni recursos, y que todos iban á ser víctimas…</t>
  </si>
  <si>
    <t>Fuertes, Éedro</t>
  </si>
  <si>
    <t>Éedro Fuertes</t>
  </si>
  <si>
    <t>…a aritmética'hasta los cálculos di ferencial é integral, todos ellos gratis á los naturales^ y á razón de 12 rs. al mes para los forasteros. VT/”3’ 3-" El profesor, de humanidades D. Éedro Fuertes tiene, én. la misma casa de la academia habitación capaz para admitir pupilos. Los ramos,que ensena son ramática castellana, latinidad, humanidades y lenguas frapcesa é inglesa* )eben.pagar 9 rs. diarios , anticipando siempre la paga de* d,os meses: igual—,f…</t>
  </si>
  <si>
    <t>Fuertes, Francisco</t>
  </si>
  <si>
    <t>Francisco Fuertes</t>
  </si>
  <si>
    <t>…alistas de esta ciudad Alejandró Vences fue el pri mero que se empeñó en perseguirlos ai escape con cuatro de dichos realistas-, y le siguió con 20 dragones el teniente de Moneada D. Francisco Fuertes; Sucesivamente cargué con la demas caballería que se me reunía, y en varias ipartidas los perseguí por todos los rumbos que tomaron en su acostumbrada dispersión, haciendo seguir la infantería también en varios trozos á sostener los dragones. A las. cuatro le…</t>
  </si>
  <si>
    <t>Fuertes, Juan Josef</t>
  </si>
  <si>
    <t>Juan Josef Fuertes</t>
  </si>
  <si>
    <t>…). Antonio Na;yarro 20, D. 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 Rafael Minteguiaga 15, D. Ramón Go mia 10, D. Josef Ramón Zozalla 2, D-&gt; Jaime Mas 8, D. Martin de Irrgo•yen 8 , D.; Juan:.Gcrd.il.' d,…</t>
  </si>
  <si>
    <t>Fullola, Pedro</t>
  </si>
  <si>
    <t>Pedro Fullola</t>
  </si>
  <si>
    <t>…y nuestro Señor, en vista de los felices resultados que ha tenido la aplicación que se ha hecho en los hospitales de esta corte del específico que para curar el reuma ha inventado D. Pedro Fullola, vecino de I3 ciudad de Zaragoza, se ha servido concederle su Real permiso para que pueda vender le durante toda su vida, y 10 años después á favor de sus herederos; man dando al mismo tiempo que se anuncie al público , como se hace por medio de este periódic…</t>
  </si>
  <si>
    <t>G, Juan Bautista</t>
  </si>
  <si>
    <t>Juan Bautista G</t>
  </si>
  <si>
    <t>…rería deGila, calle de las Carretas» Compendio del*modo de sembrar, plantar , criar/injertar/podar y cortar toda es pecie de árboles, con su descripción y propiedades: escrito por D. Juan Bautista G07 lóbárdas, oficial quinto honorario del ministerio de Marina teniente de visitador de los montes de los corregimientos de Vich y Albanresa, para mayor instrucción de los empleados en este ramo y de los labradores y hacendados. En él, para mejor inteli gencia…</t>
  </si>
  <si>
    <t>Ga, Antonio</t>
  </si>
  <si>
    <t>Antonio Ga</t>
  </si>
  <si>
    <t>…cipado de Cataluña, hasta la torre dei la Bombarda , mas ;allá del cabo de S. Antonio , en ,el, cuarto. distrito^ got^cnaciOn de Deniai Comándame general ¡el? mariscal ,de- eftmpo:D. Antonio Ga«tés;ide;»MarcillaT anudante el xa» ÍntanD. Antonio García.-primer distrito: (Comahdante 'el teniente eoronel Dori fratajis^Oí Xavier R^dfigupzc,,;cap jtaa-del) itegimiento.jiqfantetía.)de^ilá Reina/ Fuerza que le cubren «^oficiales, 12, sargentos , 20; cabos…</t>
  </si>
  <si>
    <t>Gabanes, Josef Mariano de</t>
  </si>
  <si>
    <t>Josef Mariano de Gabanes</t>
  </si>
  <si>
    <t>…ue han de hacerlos en lo sucesivo individuos útiles á la nación. Idrm $ dé Abr il. . En la sesión -que celebró anteayer la Real academia de Buenas Letras de esta ciudad , su socio D. Josef Mariano de Gabanes leyó una curiosa memo ria sobre las 800 monedas de oro godas que se hallaron el día 12 de Diciem bre de 1816 en territorio de lá Gra3a , parroqu¡a de Gonstantí , corregimien to de Tarragona en el principado de Cataluña. / ; El hallazgo fue hecho por Juan¡Bert…</t>
  </si>
  <si>
    <t>Gablentz</t>
  </si>
  <si>
    <t>…l Rey de Prusia el venerable senado de la ciudad libre de Francfort ha accedido al tratado de la santa alianza, y ha publica do el acta de su accesión. Ha llegado aqui el teniente general Gablentz, comandante del cuerpo de egército de S. M. el Rey de Saxonia en Francia. El Rey de Wurtemberg ha nombrado á su consejero privado Mr. Wangenheim su ministro plenipotenciario en la Dieta, conservándole la plaza dé consejero privado. Idem jj de Diciembre. Hoy h…</t>
  </si>
  <si>
    <t>Gabriel</t>
  </si>
  <si>
    <t>…l la sociedad* en vista de la censura; que se . hizo del modo en que; cada uno de el los habia desempeñado lo. que * lestocó. exp licar f adju— dico el; primer premio al discípulo D. Gabriel de iavGalle Macíá, y el se-* gundo á D, Manuel María Tapia; y habiéndose .declarado el accessit á. favor de D. Pablo Ramírez, el subdirector .tuvo, la generosidad de costear . para. ái otro premio igual al de süs compañeros. c; . : ... v* j. -En los años ante…</t>
  </si>
  <si>
    <t>Gabriel, Josef</t>
  </si>
  <si>
    <t>Josef Gabriel</t>
  </si>
  <si>
    <t>…ios , y la experiencia acredita sus ventajas. ■■ ' ESPAÑA. ' r , México 13 de Marzo. Continuación de los partes de "Nueva-España. . RUMBO DEL SUR. Ofició del coronel y eomayidante D. Josef Gabriel de ¿Irmijo. ,, Excmó^ Sr. : Consecuente af parte que di á V. E. en oficio núm. 513, fecha 18 del corriente:, acompaño respetuosamente el detall que me ha dirigid® el teniente coroné!;D. Juan Isidro ae Marrón, relativo á la acción sostenida contra el apóstata…</t>
  </si>
  <si>
    <t>Gaines</t>
  </si>
  <si>
    <t>Los periódicos de los Estados-Unidos insertan una carta del general Gaines al gobernador de la Georgia, con fecha de de Noviembre de 1817 , en que se da cuenra de un combate que habia habido con los indios seminóles. Parece que aquellos y los negros que se les han reunido contaban con los socorros de la Inglaterra, y el general pres…</t>
  </si>
  <si>
    <t>…qs últimos periódicos de los Estados-Unidos contienen los pormenores dé la marcha de tropas de la Union contra los indios seminóles, y confiesan que de dos cuerpos enviados por el general Gaines al mayor Muhlemburg, el uno fue cogido por los indios, y del otro no se sabe el paradero:solo seis hombres han podido escaparse í nado de 50 que iban en una canoa. El 10 de Diciembre salió el general Jackson 1 socorrer al general Gaines. ... ■ - • T ... . Por…</t>
  </si>
  <si>
    <t>…. ,,En el fuerte Gasdeu se ha puesto una guarnición de 350 hombres; otra de 200 en St. Marc, y otra de 2 5 o en el fuerte Scott: todas estas guarnición nes están bajo el mando del general Gaines, y su destino es el contener á ios indios. Se ha enviado una flotilla para cruzar en la punta meridional de la •Florida, á fin de interceptar los socorros que puedan recibir de las islas ingle sas de Bahama los indios refugiados, en las inmediaciones del lago…</t>
  </si>
  <si>
    <t>…to del año último se supo de un modo auténtico que los seminóles eran los autores de varios asesinatos cometidos en Jas personas de algunos blancos habitantes de las fronteras. El general Gaines pidió que se le entregasen los asesinos, y le respondieron los indios con altanería, y como desafiándole. Los que acusan á los Estados-Unidos de seguir una política bár bara con respecto á estos indios, deben saber que cuando se preguntó á Pepicoxy, gete prin…</t>
  </si>
  <si>
    <t>Gaitan, Josef</t>
  </si>
  <si>
    <t>Josef Gaitan</t>
  </si>
  <si>
    <t>…y D. Ignacio Romero Pando; alféreces D. Apolinario Rodea y D. Miguel Rodríguez. De S. Luis: capitán graduado de teniente co ronel D. Anastasio Bustamante; capitán D. Andrés Huete; teniente D. Josef Gaitan; alféreces D. Juan Lesaca y D. Feliciano Guerra. De S. Carlos: ca pitán D. Domingo Ugarte; alféreces D. Cesáreo Medellin y D. Mariano Mondragon. Fieles de S. Luis: capitán graduado de teniente coronel D. Ni colás Zarzosa; teniente graduado D. Patricio Gutiérr…</t>
  </si>
  <si>
    <t>Galah, Vicente García</t>
  </si>
  <si>
    <t>Vicente García Galah</t>
  </si>
  <si>
    <t>…de Ribera y D. Narciso Herranz: á D. Victoriano Pala cios, maestro de la Real escuela del barrio del Hospital general, habiendo precedido sorteo por hallarse en igual censura con D. Vicente García Galah y D. V ictoriano Molina: á D. Antonio dél Olmo, maestro de la Real escue la del barrio de la Comadre : á D. Francisco Zazo, maestro de la Real escue la del barrio dél Humilladero, habiendo precedido sorteó por hallarse en igual «ensura con D. Nicolás Alonso. ‘ Pero…</t>
  </si>
  <si>
    <t>Galan, Josef Alegre</t>
  </si>
  <si>
    <t>Josef Alegre Galan</t>
  </si>
  <si>
    <t>…cuarto bajo; el de Trillo D» Josef María Brull, calle del Olivo bajo , cuarto 3.0, frente ála lotería ; el jde AIcantud D. Atanasio Herrainz en la villa de Gascueña; el de Alange D. Josef Alegre Galan en Almendralejo; el de Sotan de Cabras D. Josef López Menchero en esta corte, ?CaVia baja’, núm. 25, cuarto 2.°, hasta mediados de Mayo, que saldrá de aquí á su desfino; el de Ledesma D. Pablo Montesino en Valencia de Alcántara, y el de Alama D. Ramón Marcone…</t>
  </si>
  <si>
    <t>Galan, Vicente García y</t>
  </si>
  <si>
    <t>Vicente García y Galan</t>
  </si>
  <si>
    <t>…e la gramática que enseña ¿ disponer las palabras para for mar conceptos, y de cuántas maneras se verifica esta disposición? El dia 12 de Abril D, Francisco Rodríguez de Guevara y D. Vicente García y Galan sobre ¿ qué se entiende por prosodia, y cuál debe ser su uso en castellano? El dia 31 de Mayo D. Teodoro Salvador Cortés y D. Juan Manuel del Val le $nbre &lt; cuántas son las letras de nuestro alfabeto; cuál su uso, y si se podrán reducir á menor número? El dia…</t>
  </si>
  <si>
    <t>Galarraga, Siiverio</t>
  </si>
  <si>
    <t>Siiverio Galarraga</t>
  </si>
  <si>
    <t>do Muro 6 , D. Josef Lgnacio Casas 8, Doña María Josefa Blanco y herma-, na 2 , D. Juan Vicente Arévalo 2 , D. Sebastian Fernandez de León 6, Don Pedro Bahamonde 4, D. Siiverio Galarraga 2, D. Fermín Castillo Beitia y hermanos 4 , D. Ignacio Diaz 2, Doña Josefa Solórzano 1, el presbítero Dorr Josef Gregorio Avila 1, D. Josef Navas 2, Sra. marquesa de Casa León iof Total 683 pesos y 4 reales. Pamplona 27 de Agosto. En los dias 19 y 22 de Junio…</t>
  </si>
  <si>
    <t>Galeana</t>
  </si>
  <si>
    <t>…mente á los • realistas qué nuevamente .se? ..Las están formando en Cutzamala , y ios caballos para remontar,.aquélla; tropa. r ,, Recomiendo á V. S. particularmente al acreditado capitán Galeana, y al,bizarro sargento Talavan con sus 15. dragones: el primero por-mandar con: abierto,¡y el segundo por egecutar ^on valór merecen toda ¡lav consideración de YrÓ.'J' y sí :1o tiene á bieñ. duplico lo eleve al superior conocimiento del: femé.j $r¿ vi^ey , é:…</t>
  </si>
  <si>
    <t>Galeana, Manuel</t>
  </si>
  <si>
    <t>Manuel Galeana</t>
  </si>
  <si>
    <t>…s rotas y descompuestas. ,,A las cuatro de la tarde entré en Cutzamala; y me hallé con que Cam pos le había embestido, y que salió derrotado con la pérdida que expresa el ca pitán D. Manuel Galeana en su parte del 11. El mismo dia 11 á las once em prendí mi marcha para este punto, y en el tránsito dispuse que Villanueva con 20 hombres fuese al rincón de las Cañadas con un prisionero de Campos, y me trajo un cajón de municiones que tenia enterrado y unas…</t>
  </si>
  <si>
    <t>…vo el destacamento del pueblo de Cutzamala con la gavilla de 100 hombres que al mando del cabecilla Pablo Campos trataron de sorpren derle. • : ,, Recomiendo á V. E. el mérito del capitán D. Manuel Galeana, y del sargento Josef Manuel Talavan , con los demás de que hacen referencia ambos documentos por haberse distinguido. , *, Píos guardeá V. E. muchos años. Chilpáncingo 23 deiFebrero de 1818;== Excmo. Sr.=Josef Gabriel de Armijo. = Excmo. Sr. virey D. Juan Ru…</t>
  </si>
  <si>
    <t>... loe^ que con fecha $ del corriente me ha dado el comandante de Cntzamala capí-' tan D. Manuel Galeana, sobre la salida que hizo con 25 dragones al parage dela Ciénega y resultados de su expedición. ,, Recomiendo á V. S. á este benemérito oficial tan acreditado en el valor como en circunstancias, para que si lo tiene á bien lo eleve al superior cono cimiento d…</t>
  </si>
  <si>
    <t>Galeana, Manuel Elivar y</t>
  </si>
  <si>
    <t>Manuel Elivar y Galeana</t>
  </si>
  <si>
    <t>…os que cogí el 12 á mi re greso á este punto supe que este cabecilla iba herido de bala en el costado iz quierdo, y que impuso pena de la vida á los que lo descubrieran. Parte del capitán D. Manuel Elivar y Galeana. „ Á poco tiempo de la salida de vmd. anoche de este punto en busca de los rebeldes, tuve la noticia de que el pérfido Pablo Campos me atacaba en la madrugada de hoy; inmediatamente se lo noticié á vmd. por diferentes cor reos que le dirigí , los que volviero…</t>
  </si>
  <si>
    <t>…Excmo. Sr. virey. ,,Dios guarde á V. S. muchos años. Goaulotitían Febrero 14 de 1818. ==¿ Juan Isidro de Marron.=Sr. coronel y comandante D. Josef Gabriel de Armijo.” . Parte del capitán D. Manuel Elivar y Galeana. ,,E1 2 á las nueve de la noche salí de este punto con 25 caballos para el parage de la Ciénega, tanto por traer al padre D. Manuel Luivano, como por haber sabido que había una reunión de 200 hombres al mando de los rebel des Ayala y Ríos, y que el titulado c…</t>
  </si>
  <si>
    <t>Galeppi</t>
  </si>
  <si>
    <t>…te definitivo de la paz. Esto es tanto mas notable cuanto no hace todavía 20 años que S. A. se negó á abrir una carta de oficio de la SabtaSede que le entregó Mr. Erskine; y Mon-, señor Galeppi, cuando estuvo en Inglaterra de paso para Lisboa, no pudo lograr que se le permitiese presentarse con el vestido de prelado católico. El Padre Santo está enteramente restablecido de la pequeña indisposición que ha tenido, y su salud promete que vivirá todavía…</t>
  </si>
  <si>
    <t>Galiani, Juan Antonio</t>
  </si>
  <si>
    <t>Juan Antonio Galiani</t>
  </si>
  <si>
    <t>…es que estaban con ellos. También hemos rescatado de los pri-, sioneros que cogieron en S. Fernando el teniente de Numancia D. Francisco Argona, los subtenientes del propio cuerpo D. Juan Antonio Galiani y Don Joaquín Villamil, y el de igual clase de Barinás D. Calixto Landaeta. Tam bién se Ies han cogido dos banderas, de las cuales una me presentó el soldado de lanceros del Rey Lucas Rojas; todo el equipage de los gefes y oficiales, in cluso el de Bolívar, tirando este en su retir…</t>
  </si>
  <si>
    <t>Galinsoga</t>
  </si>
  <si>
    <t>acción que refiere el parte anterior el capitán Galinsoga y los oficiales y tro pa de su mando, y na mandado darles las gracias en nombre del Rey nues tro Señor. Madrid 28 de Diciembre. ARTICULO DE OFICIO. t Por Real resolución de 10 del presente mes, á consulta del Consejo su premo de la Guerra, se ha servido S. M.…</t>
  </si>
  <si>
    <t>Galinsoga, Francisco Martínez de</t>
  </si>
  <si>
    <t>Francisco Martínez de Galinsoga</t>
  </si>
  <si>
    <t>…de del crimen mas antiguo del mismo tribu nal ; y para esta resulta á D. Ignacio deGusseme^ para ia de oidor de la au diencia de Extremadura., que resulta vacante por promoción de D. Francisco Martínez de Galinsoga á plaza de alcaide de Corte., á D. Francisco de Paula Hue, alcalde del crimen mas antiguo de la propia audiencia ; para esta re sulta á D. Vicente Esteve: y para otra plaza del crimen de esta audiencia, que resulta vacante por muerte de D. Josef Olivas y Deni…</t>
  </si>
  <si>
    <t>Galitzin, Basilio de</t>
  </si>
  <si>
    <t>Basilio de Galitzin</t>
  </si>
  <si>
    <t>…ipe de Sayn-Wirtgenstein, ministro de Policía, y primer.gentil^ hombre.de S. M. Prusiana; Mr. Scheel ,, consejero de; Guerra; Mr. Dunckec;? secretario íntimo ;de. este Monarca; el príncipe Basilio de Galitzin ; el conde Gustavo Malachowsky,y ;Mr. ObrescofF, gentileshombres de cámara del Em perador de Rusia,; el condeáBennigsen,, general en gefe al tser vicio del Empe rador de Rusia; el condé de Stakelberg, consejero privado del mismo Empe-* rador, y , la condesa d…</t>
  </si>
  <si>
    <t>Gallard.esEs, Salvador</t>
  </si>
  <si>
    <t>Salvador Gallard.esEs</t>
  </si>
  <si>
    <t>PDF p. 14</t>
  </si>
  <si>
    <t>…r:algunas flecheras:españolas ha mandado el Excmo. Sr. capitán general se entregasen á la marina, por cuyo motivo no se ha inventariado. Puerto del Notrté 8,de Agosto de 1817.=;El capitán Salvador Gallard.esEs copia. =5El comandante general interino de Artillería Antonio María Casano. Circular del Consejo Real. . Al Excmo. Sr. duque presidente del Consejo han llegado varias, represen taciones de pobres de solemnidad, quejándose de que^por exigirles derechos de las…</t>
  </si>
  <si>
    <t>Gallarda, Andrés</t>
  </si>
  <si>
    <t>Andrés Gallarda</t>
  </si>
  <si>
    <t>…udad del Puerto de Sta. María, los Sres. Sam y Woll en; Augsburgo v los. Sres. Debo urge Hemiarios en París ,,D.Juan; Kladt en, Holanda* los Sres. Hermanos Duerne en Á'ugsburgo, y D. Andrés Gallarda, cuya vecindajj se ignora. ^ - ' Y ‘ , Por providencia del Sr. D. Manuel Fernandez Gamboa, alcalde de la Real Ca sa y Corte, refrendada del escribano de provincia D. Valdomero .Moraleda, dada á instancia de la Sra. Doña María Amalia de Acosta y Ovierne, de es…</t>
  </si>
  <si>
    <t>Gallardo, Pedro</t>
  </si>
  <si>
    <t>Pedro Gallardo</t>
  </si>
  <si>
    <t>…yál los oficiales y:itrópáque.cQncurHe4* roíl con; ellos en las accidnes qoe .refieren t ha r concedido/el grado inmediato ai subteniente. D. Manuel Estéban Atilano *1 Sargentos *D. Pedro Gallardo é 1 sidro Sánchez * y á los cabos Miguel Vega, Manuel .Xittienez y Pablo Victoriano? y: ha prevenido que las familias .pobres de los que fallecieron en las acciones dichas dirijan sus instancias documentadas para declararles la pensión cor-* ¡respondiente. ■…</t>
  </si>
  <si>
    <t>Gallego, Esteban Rodríguez</t>
  </si>
  <si>
    <t>Esteban Rodríguez Gallego</t>
  </si>
  <si>
    <t>…, con ei mayor anhelo los adelantamientos de la juventud, estimulando su aplicación con diferentes premios y otros alicientes, pasó al aula de mayores, presidida por el corregidor D. Esteban Rodríguez Gallego, del Consejo de S. M., y á presencia de varios señores eclesiásticos, asi de la santa iglesia ca tedral como de las parroquias y otros vecinos é interesados, se celebraron exá menes de latinidad, habiendo presentado á ellos el catedrático D. Vicente Ramón Fer…</t>
  </si>
  <si>
    <t>Gallo</t>
  </si>
  <si>
    <t>…golfo de Vizcaya una escuadra de siete á ocho navios de línea (que se hallaban en varios puertos del Reino^Únido como en observación ), y unas cuantas fra gatas á las órdenes del almirante Gallo wat. Idem 2$. Se asegura que el 9 de Junio es el día-señalado para la disolución del Parlamento, s| no sobreviniese motivo alguna que haga variar esta determi nación. Debiendo estar concluidos todos los asuntos pendientes en el Parlar mentó para principios de…</t>
  </si>
  <si>
    <t>Gallo, César</t>
  </si>
  <si>
    <t>César Gallo</t>
  </si>
  <si>
    <t>…de 1817 en la ciudad de Maceraía. E11 con secuencia la congregación de justicia criminal ha condenado á muerte á los sugetos siguientes: un negociante de Ancona llamado Papis; el conde César Gallo; Osimo;. Luis Carletta, militar que fue; Riva, ex-gendarma de Forlj^, y Castellano* abogado. A galeras perpetuas han sido condenados los llamar* .dos.,Cotteloni*¿empleado ;de Macerara; Sampaolesi, notario de Ancona, y Fattiboni, ingeniero de Cesena. Aun queda…</t>
  </si>
  <si>
    <t>Galvez, Juan</t>
  </si>
  <si>
    <t>Juan Galvez</t>
  </si>
  <si>
    <t>…el Sino. Cristo de la Buena Muerte, legado por la Excma. Sra. Princesa de Salm Salm, duquesa viuda deí Infantado, á la iglesia parroquial de S. Andrés de esta corte, dibujada por D. Juan Galvez, y grabada por D. Mariano Brandi. Se vende en la sacristía de dicha iglesia á 8 rs. EN LA IMPRENTA REAL.</t>
  </si>
  <si>
    <t>Gamarra, Julián</t>
  </si>
  <si>
    <t>Julián Gamarra</t>
  </si>
  <si>
    <t>I034 , pul os, también por doctrinará D. Tomás Bueno por leer; á D. Juan Arenaxa por escribir; á D. Pablo de Argote por aritmética; á D. Julián Gamarra por ortografía y gramática castellana; á D. Venancio de $agarnaga y Don Faustino ae Ampuaia por buena conducta; á D. Josef de Puente en la clase de menores y demas rudimentos; á D. Juan Guzman en la de medianos, y á Don Liborio ae Otazu, por haber salido en s…</t>
  </si>
  <si>
    <t>Gambier</t>
  </si>
  <si>
    <t>…ral___Gibraltar 22 de Enero de 1818-----Excino. Srt Muy señor mío y estimado general: Tengo el honor de participar á V. E. que la corbeta de guerra de S. M. Británica el Mirmidón, capitán Gambier, llegó ayer de Malta, habiéndose puesto en facha por pocas horas en la bahía de Argel el 13 del corriente, donde supo verbalmente del cónsul de S. M. Bri tánica las noticias siguientes relativas á la peste. La enfermedad había dismi nuido mientras duraron los…</t>
  </si>
  <si>
    <t>Gamboa, Manuel Fernandez</t>
  </si>
  <si>
    <t>Manuel Fernandez Gamboa</t>
  </si>
  <si>
    <t>…Debo urge Hemiarios en París ,,D.Juan; Kladt en, Holanda* los Sres. Hermanos Duerne en Á'ugsburgo, y D. Andrés Gallarda, cuya vecindajj se ignora. ^ - ' Y ‘ , Por providencia del Sr. D. Manuel Fernandez Gamboa, alcalde de la Real Ca sa y Corte, refrendada del escribano de provincia D. Valdomero .Moraleda, dada á instancia de la Sra. Doña María Amalia de Acosta y Ovierne, de esta vecindad, actual marquesa de Salas, y poseedora de dos de los mayorazgos fundados con a…</t>
  </si>
  <si>
    <t>…iera fondeadero de dichas costas españolas, • .¿mmtmmm ii | ■ * 1 ' ——11 11 -.................... ...-r ■' _ t ■- "■ * -■ ' ■ - : - ■ ‘ - ----—— —i——■.-&gt;' Por providencia del Sr. ,D. Manuel Fernandez Gamboa, del Consejo de S. M:,</t>
  </si>
  <si>
    <t>102. O vPór providencia del Sr. D. Manuel Fernandez Gamboa, del Consejo de S. M., alcalde de su Real Casa y Corte, de i.° del corriente mes, refrendada del.escriba no de provincia D. Vaidomero Moraleda, se señala el jueves z z del mismo en la au diencia de dicho señor, y hora de las i z del día, para el remate de la…</t>
  </si>
  <si>
    <t>…del cargo del Sr. D. Vi cente María de Arauna á dar razón de su existencia; en inteligencia de que no haciéndolo, se procederá á lo que haya lugar. &gt; En virtud de providencia del Sr. D. Manuel Fernandez Gamboa , del Consejo de S. M., alcalde de su Real Casa y Corte, de 24 del pasado, refrendada del escribano de provincia D. Baldomero Moraleda, se cita, llama y emplaza á los Sres. Galarza y Goicochea, compañía de Balmaseda é hijo, D. Julián Josef Gancedo y D. Josef…</t>
  </si>
  <si>
    <t>Gamborino, Miguel</t>
  </si>
  <si>
    <t>Miguel Gamborino</t>
  </si>
  <si>
    <t>…, porSclma, á 6\-—Ochenta estampas, que forman un cuaderno, de los caprichos de G-oya, grabadas por:él mismo, á 200.■—Un viacrucis, inventado por D. Vicente Ló pez , y grabado por D. Miguel Gamborino , á ^o.^Secontinuará.') En el Consejo supremo de Hacienda y sala segunda de Justicia, por la escribanía de Cámara al cargo de D. Andrés Melendez,. se siguen autos en grado de apelación contra D. Joaquín y D. Florencio Rubio, hermanos, vecinos que fueron de la…</t>
  </si>
  <si>
    <t>Gamerin</t>
  </si>
  <si>
    <t>…mo experimento que esta famosa aeronauta hizo en París á presencia de S. M. Cristianísima y de los Soberanos aliados, de quienes recibid los mas honrosos y lisonjeros aplausos. El Sr. Gamerin se ocupa con la mayor actividad en los preparativos pa ra el duodécimo experimento que su hija trata de hacer en esta capital, ele vándose con un globo á una inmensa altura , donde con ánimo intrépido , cor tando una cuerda, se desprende del globo, y baja,á l…</t>
  </si>
  <si>
    <t>Gamez, Pedro</t>
  </si>
  <si>
    <t>Pedro Gamez</t>
  </si>
  <si>
    <t>…mo fin; y del recibo nos dará aviso. Madrid 27 de Octubre de 1818* •; . 1 ,¡ El Rey nuestro Señor* se. ha servido nombrar comendador de: la orden americana de Isabel la Católica á D. Pedro Gamez, deán de !la catedral de Durango, provincia de Nueva-Vizcaya , en atención á sus señalados méritos contraídos en las ocurrencias de Nueva-rEspaña. , « ; ■.; —- r-r ,r? -------------------- :---- -— --- r t: y -—H~:—r-t\ AVISO A LOS, KAVEGANTESp_. .. El tenien…</t>
  </si>
  <si>
    <t>Gamps, Di Antómó</t>
  </si>
  <si>
    <t>Di Antómó Gamps</t>
  </si>
  <si>
    <t>…ur del cabo de S. Antonio/ y Hegá hasta pasado Aguilas, que finaliza el séptimo dis tritoporque es donde- confina rla provincia de Murcia don la; de Granada. Comándanté générál éí‘brigadier Di Antómó Gamps / coronel agregado al feginriieiitp dé lnf^htería de la Reina: ayudante.Quinto distrito: coman dante el teniente coronel D. francisco Antonio Lloret, primer ayudante agre gado _al regimiento de infantería de León. Fuerza que le,cubre: 5 oficiales, ¿1 sargento…</t>
  </si>
  <si>
    <t>Gan, Leon</t>
  </si>
  <si>
    <t>Leon Gan</t>
  </si>
  <si>
    <t>…dI':l 1. .:a.U'~1 .e a ml~nu e ania e prOV1llCla .J ..:'!C• ('",Jasa y e orte, y escr}. y comblOneS D. ~L~ll""l Lope:l de Riv3S, se halla radicada ]a tcst::1l11entarÍa dd difunto D. Leon Gan::.;':i. Senano ~ vi!cino y agente del número de Indias que fue de e:.&gt;ta corte; y á su "Í¡¡Lid en junta gcn.!ral cel\!brada con fecha (9 dd pasa Jo por todos los acr:-edores qu~ s\' h:; ¡la:1 nl()strados parte en los autos de la citada testamt:ntaría, S~ ha a…</t>
  </si>
  <si>
    <t>Gancedo, Julián Josef</t>
  </si>
  <si>
    <t>Julián Josef Gancedo</t>
  </si>
  <si>
    <t>…asa y Corte, de 24 del pasado, refrendada del escribano de provincia D. Baldomero Moraleda, se cita, llama y emplaza á los Sres. Galarza y Goicochea, compañía de Balmaseda é hijo, D. Julián Josef Gancedo y D. Josef Dionisio de Ugarte para que dentro del término de 15 dias, contados desde la publi cación de este aviso, que por equidad, único y último término se les concede, acu dan ante dicho señor juez y escribanía por medio de procurador, con poder bastante, á deducir las accio…</t>
  </si>
  <si>
    <t>Gandásegui, Josef Mariano de</t>
  </si>
  <si>
    <t>Josef Mariano de Gandásegui</t>
  </si>
  <si>
    <t>…r Doña Dominga Asanco, y retenidos en la oficina de Renovación, tres vales Reales de 300 pesos, creación de i.° de Setiembre de 1808, núms. 69484, 69927 y 70125 , pertenecientes á D. Josef Mariano de Gandásegui, vecino de la villa de Bilbao, se acudió por este al Sr. D. Joaquín Aimazan, deí Consejo de S. M., teniente corregidor de esta muy heroica villa, y escri-: banía del numero de D. Antonio Villa y Fernandez, y á su instancia con fecha 14 de Febrero de 1815 se l…</t>
  </si>
  <si>
    <t>Gaona, Jacinto</t>
  </si>
  <si>
    <t>Jacinto Gaona</t>
  </si>
  <si>
    <t>…de pie y noria. Quien quisiere comprarla acuda á lf escribanía de provincia que egcrce D. Manuel López de Rivas, sita en el patio de la Real cárcel de corte, ó á la del número de D. Jacinto Gaona, sita en la calle Mayor. Se halla vacante uno de los magisterios de gramática qué están á cargo del ayun tamiento de la ciudad de Gerona, dotado en 375 libras catalanas anuales; y se pre viene á ios qué quieran pretenderlo que se presenten al secretario del m…</t>
  </si>
  <si>
    <t>Gar, Francisco Rodríguez</t>
  </si>
  <si>
    <t>Francisco Rodríguez Gar</t>
  </si>
  <si>
    <t>…vista de esto los patronos de este sabio establecimiento, después de haber distribuido en entrambas ocasiones varios premios á los mas sobresa lientes de los discípulos*,y dado al catedrático D. Francisco Rodríguez Gar cía el tributó dé elogios y reconocimiento debidos á su zelo é ilustración, dis pusieron que se imprimiesen entrambos egercicios para que sirviesen en todo tiempo de un testimonio irrefragable del mérito dsl actual preceptor , y del esmero con que por su part…</t>
  </si>
  <si>
    <t>Gar, Josef</t>
  </si>
  <si>
    <t>Josef Gar</t>
  </si>
  <si>
    <t>…ndss , dragones de Sierragorda ■ y S. Carlos, dirigiéndome á la hacienda de S. Isidro, adonde llegué un poco antes de amanecer. Ir.mediat?mente dispuse que el capitán de mí cuerpo D. Josef Gar cía María con 50 hombres del mismo y Frontera hiciese un reconocimien to sobre la altura á oriente de la hacienda, con el objeto de recoger algunos caballos que se me había informado tenían los rebeldes an aquel sitio;, en efecto logró coger 15 caballos, sorp…</t>
  </si>
  <si>
    <t>Gar, Miguel</t>
  </si>
  <si>
    <t>Miguel Gar</t>
  </si>
  <si>
    <t>…pasta en la librería de Brun , frpnte á las gradas de S. Felipe el Real» y de Montero¿ calle de la.Concepción* cí &gt; Compendio de retórica sacada de los mejores autores por cl Dr. D. Miguel Gar cía de la Madrid , individuo de lá Real sociedad económica Matritense, corresponsal déla Real academia de la Historia,'y profesor de retórica en el establecimiento, de len guas extranjeras y bellas letras del Sr. D. Carlos Ernesto Coók. ', . 1 - ■ Extracto de…</t>
  </si>
  <si>
    <t>Gar, Pedro</t>
  </si>
  <si>
    <t>Pedro Gar</t>
  </si>
  <si>
    <t>…tanes D. Joaquín Espinosa y D. Josef Ortiz; tenien tes D. Isidro Espinosa y D. Josef Castillo , y alférez D. Rafael Salinas. ,, Asimismo mis ayudantes de campo capitán de Zaragoza D. Pedro Gar^, cía Paredes, de fieles del Potosí, capitán graduado f&gt;. Manuel Rodríguez, y del regimiento de dragones de Moneada teniente D. Francisco Santelices, y el capellán bachiller D. Antonio Cea. Irapuato 29 de Octubre de 1817.se; Francisco de Orrantía/’ Contestaci…</t>
  </si>
  <si>
    <t>Garay, Martin de</t>
  </si>
  <si>
    <t>Martin de Garay</t>
  </si>
  <si>
    <t>…se pueda emplear en alivio de mis vasallos. Tendreislo entendido, y dispondréis lo conveniente á su cumplimiento. = Señalado de la Real mano. = En Palacio á 26 de Enero de 1818.=A Don Martin de Garay. '* Circular de la Dirección general de Rentas. El Excmo. Sr. Secretario del Despacho de Hacienda con fecha de 3 del corriente nos comunica la Real orden que sigue: „Habiendo dado cuenta al Rey nuestro Señor de una exposición del in tendente y junta principal…</t>
  </si>
  <si>
    <t>…r mación que hiciesen se les tuviese y reputase por legítimos acreedores, de que se expidió Real cédula en 24 de Abril de 1816. En este estado se comunicó ai Consejo por el Excmo. Sr. D. Martin de Garay, Secretario de Estado y del Despacho universal de Hacienda, en 1.® de Octubre último la Real orden siguiente: ,, Excmo. Sr.: A los directores del Crédito público digo con esta fecha lo siguiente: „Habiéndose suscitado varias dudas sobre la verdadera inteligen…</t>
  </si>
  <si>
    <t>…es de la quina, que nadie ha conocido como él , falleció en Sta. Fe de Bogotá en 11.de Setiembre de 1808. ARTICULO DE OFICIO. Circular de la Dirección general de Rentas. El Excmo. Sr. D. Martin de Garay con fecha 13 del corriente comuni ca á esta Dirección de Real orden lo que sigue: „He dado cuenta al Rey nuestro Señor de cuanto VV. SS. manifiestan en su papel de 4 del corriente; y S. M., enterado de que uno de los medios que puede contribuir poderosamente…</t>
  </si>
  <si>
    <t>…por el que os felicita rogando al Todopoderoso por sil salud y la de toda la Real Familia/' A R T I C U l O D E O F I C I O. Circular de la Dirección general de Rentas. El Exemo. Sr. D. Martin de Garay con fecha 13 del corriente nos dice de Real orden lo siguiente: ,,Habiendo dado cuenta al Rey nuestro Señor de una pretensión de Don Juan Antonio Murnais y González, administrador de Rentas estancadas de la Grana, partido del Ferrol, separándose del conducto…</t>
  </si>
  <si>
    <t>…calle de las Carretas, á las nueve en punto de la mañana, presidiéndola conforme á su instituto, la junta de gobierno de la misma compañía , y, á ambas su presidente nato el Excmo.Sr. D. Martin de Garay; secretario de Estado y del Despacho universal de Hacienda, si sus ocupaciones se lo permitiesen. Los accionistas que tuvieren 20 ó mas accio nes propias deberán hacerlo constar en la secretaría de la compañía, exhi biendo las acciones, ó entregando testimoni…</t>
  </si>
  <si>
    <t>…municándolo á quien corresponda. =-Rubr ir-? cado de la Real mano. = Palacio 14 de Setiembre de 1818. = A D. Francisco de Eguía.” . , : í 3.° ^Atendiendo á la quebrantada salud de D. Martin de Garay, y pata que pueda verificar su restableciiiriento, he venido en exonerarle del cargo dé mi Secretario de Estado y del Despacho de Hacienda de España y de Indias; y quiero que le desempéñe interinamente D. Josef Imáz , ministro honorario de mi supremo Conséjo…</t>
  </si>
  <si>
    <t>Garay.’, Martin de</t>
  </si>
  <si>
    <t>Martin de Garay.’</t>
  </si>
  <si>
    <t>3 6° necesario á sa cDmpIímiento.srRubricado de la Real mano-s= Palacio 3 de Abril de,1818. =rA D. Martin de Garay.’* , , r:v : Doña Elisa Garnerín suplica á los señores suscripto res se sirvan dispen sarla de presentarse en sus casas por estar ocupada en los preparativos de su experimento, y en su consecuencia ruega á dichos señores tengan la bondad de suscribirse en su ca…</t>
  </si>
  <si>
    <t>Garcés, Faustino</t>
  </si>
  <si>
    <t>Faustino Garcés</t>
  </si>
  <si>
    <t>…personal *.y la medalla de oro á ambos Ochoas. Capitán de milicias de turnan a. D. Josef León Gómez la nobleza "per sonal* • - Capitán de milicias de artillería de Puerto-Cabello. D. Faustino Garcés la nobleza persona!; . ^ ^ -• &gt; s Guerrillas de¡ Camhtaguai D. Josef Antonio Ramírez y D. Domingo Tason confirmados, en sus empleos de capitanes:, y la nobleza personal. Escuadrón deHisnados. D. Francisco Coronado , natuial de S. Francis co de Tisnados, aprob…</t>
  </si>
  <si>
    <t>Garcés, Miguel</t>
  </si>
  <si>
    <t>Miguel Garcés</t>
  </si>
  <si>
    <t>632</t>
  </si>
  <si>
    <t>…onsecuencias; D. Mariano Pinos del movimiento de los fluidos y distribución de las aguas. Día 3.0 D. Nicasio López sobre la resolución de los triángulos rectilíneos y su utilidad; D. Miguel Garcés de las leyes del equilibrio, y ventajas que adquiere la potencia con las máquinas. Dia4.° Don Josef Yarza acerca del origen y fundamento del cálculo diferencial; D. Pe dro García sobre la utilidad del cálculo numérico. , Fue suma y general la satisfacción de…</t>
  </si>
  <si>
    <t>…o de los res tantes, se habia dispuesto recompensar á D. Nicasio López, D. Josef Yarza y p» Anacleto Toron con un egemplar á cada uno de la obra del Vallejo, y á D. Mariano Pinos, D. Miguel Garcés y D. Pedro García con otro de la de Lacroix, cuyas obras ricamente encuadernadas en pasta tenían en la cubierta una leyenda que decía: la Real Sociedad Aragonesa al mérito de T&gt;. N. de JV. Todos recibieron los expresados premios de mano del señor presidente por el mismo orden…</t>
  </si>
  <si>
    <t>Garcés, Pió Sánchez</t>
  </si>
  <si>
    <t>Pió Sánchez Garcés</t>
  </si>
  <si>
    <t>…or Urquiza, y el subteniente D. Juan Santiago, del regimiento de la Union , el teniente de Búrgos D. Antonio Gil, y el capitán de Navar ra D. Antonio Ladoux. El capitán de Granada D. Pió Sánchez Garcés fue contuso. „Los capitanes del regimiento de la Union D. Pascual Churruca y Don Joaquín Dalmau , y el teniente del mismo cuerpo D. Manuel Crespo, estu vieron á la cabeza de sus compañías en la última columna de ataque que se apoderó del fuerte, y todos ellos…</t>
  </si>
  <si>
    <t>García, Antonio</t>
  </si>
  <si>
    <t>Antonio García</t>
  </si>
  <si>
    <t>…de primeras letrasel cuadrode Montesa, el clero secular y regular, y los sugetos mas distinguidos, se* presentaran á exámenes públicos ió niños de la. clase de mayores al cargo de D. Antonio García de varo;, y dando principio con un discurso que pro-^ nuncio Francisco Ximenez.con tanta claridad y sentido , que mereció el aplau so general, fueron examinados en seguida en leer , escribir y aritmética , es tampando, en la. pizarra las numeraciones que se l…</t>
  </si>
  <si>
    <t>…Don Francisco Rodríguez Mesa 2 * Sres. Perez y Chaves 4, D. Ramón Gutiér rez 6, D. Feliciano Borges 4, D. Josef Hernández Horta 4 , D. Matías Cas tro 4, D. Juan V ícente Perez 2, D. Antonio García 2 , D. Pedro Castillo 4, D. Josef Antonio Rasquin 5 , D. Francisco de Iturbe 10, D. Ramón de Azpurua 5 , Dv Miguel Rabelo Alcántara 16, D. Félix Domingo Martínez 2 , Don Juan: Esteban de dEehezuria 20, D. Bernardo Pénelas 20, T). Antonio Na;yarro 20, D. Josef…</t>
  </si>
  <si>
    <t>…e en la gaceta para satisfac ción del interesado. Asimismo por Real resolución de 1.° del presente mes, á consulta del Consejo supremo de la Guerra, se ha servido S. M. conceder á D. Antonio García, vecino de la villa de Fuentes de Andalucía, el fuero militar y uso de uniforme de practicante de farmacia de egército, en premio de los servicios que ha hecho en las boticas militares de campaña en la última guerra; decla rando al mismo tiempo le ha sido muy…</t>
  </si>
  <si>
    <t>García, Casimiro Celedonio</t>
  </si>
  <si>
    <t>Casimiro Celedonio García</t>
  </si>
  <si>
    <t>…ásti*r co, queá la sazón estaba visitando la parroquial, el cura párroco con los de mas eclesiásticos y los principales vecinos deí pueblo; y presentados los ni ños por su maestro D. Casimiro Celedonio García, se dio principio al exa men por la explicación de la ortografía, caligrafía, urbanidad, aritmética y doctrina cristiana, manifestando después en casos prácticos lo mismo que ha-r bian explicado en las reglas; y haciendo ver en la expedición con que leyexpn ,…</t>
  </si>
  <si>
    <t>García, Diego</t>
  </si>
  <si>
    <t>Diego García</t>
  </si>
  <si>
    <t>…la .falta de principios,religiosos en. los agresores.-; ^ . ........ ESPAÑA. , • ^ ’ ,.t„. México jo de Marzo. \ Continuación de los partes de Nueva-España. Oficio del brigadier y comandante D. Diego García, Conde. ,, Expmo. Sr. ; El coronel P. ^Cárlos.;M^í%:Iij9ire9jt:e;{me. •• noticia . con fe</t>
  </si>
  <si>
    <t>García, Donato</t>
  </si>
  <si>
    <t>Donato García</t>
  </si>
  <si>
    <t>…iano Márquez y £guilar y Dv Maria no Robledo García, alcaldes mayores de Mataró y Sacedonl Por disposición de $;. M., á propuesta de la junta de protección dé! mu seo de ciencias, D. Donato García, profesor de mineralogía¿ empezará sus lecciones- públicas de este ramo, en el Reáí es tudío, [establecido entel Gabinete de Historia natural el día 30 del corriente á fas ti de la.manan#, y las con tinuará todos; los lunes, miércoles y viernes que nó sean fe…</t>
  </si>
  <si>
    <t>García, EKego</t>
  </si>
  <si>
    <t>EKego García</t>
  </si>
  <si>
    <t>7o? r Él Exorno/ virey ha? mapdadó¡ dár Clasí gracias ’ en-, Sombre del Rbsj nuestro Señor ¡al capitán comandante de Tecpan D. EKego García, al tenien-* ste coronel graduado D; JoseL Aguilera yál los oficiales y:itrópáque.cQncurHe4* roíl con; ellos en las accidnes qoe .refieren t ha r concedido/el grado inmediato ai subteniente. D. Manuel Estéban Atilano *1 Sargentos *D. Pedro Gallardo é 1 sidro…</t>
  </si>
  <si>
    <t>García, Felipe Pardo y</t>
  </si>
  <si>
    <t>Felipe Pardo y García</t>
  </si>
  <si>
    <t>…y gratificaciones á las mas instruidas y diestras. Entre otras que recibieron distinciones fueron principalmente agraciadas cada una con su medalla de plata, que entregó el socio D. Felipe Pardo y García en el acto , Josefa Tovar y Juliana Garrido, como sobresalientes en doctrina « quienes las recibieron también de mano del limo, con tanto «iáyéflf gozo, cuanto qué las medallas representan la imagen de nuestra Señoradéla Foencisía , santuario de la mayor devó…</t>
  </si>
  <si>
    <t>García, Francisco</t>
  </si>
  <si>
    <t>Francisco García</t>
  </si>
  <si>
    <t>…ente áspiránte al ¿Real cuerpo de ingenieros., D* Manuel Pose, alférez del Real cuerpo de&lt;ii*± genieros ae la Armada, D. Angel Calderón de la! Barca, D. Manuel Domingo de Urquiza, D. Francisco García, D. Antonio Castro, D. Josef Belda, D. Jo sef Casado, y D. Luis Cifuentes, oyente. u ó Los examinadores nombrados por S. Ar R. fueron los1 Srés. D. Tgnacid Jáuregui, primer médico de CámaradeS.M.; D. «Agustín Mestre * boticario! mayor; D. Andrés Alcon, catedr…</t>
  </si>
  <si>
    <t>García, Francisco Rodríguez</t>
  </si>
  <si>
    <t>Francisco Rodríguez García</t>
  </si>
  <si>
    <t>…l justísimo aplauso de Ips amantes de Ja instrucción publica en esta villa los cursantes patricios y forasteros de su Real ciase de humanidades, que dirige el apreciable humanista D. Francisco Rodríguez García. Habían precedido á este lucidísimo certamen publico dos dias de exámenes secretos, en que los presbíteros D. Cristóbal Romero Hidal go , IX Juan Sánchez Barrancos y el censor D. Francisco Javier Moreno, asis tidos del catedrático, según previene la ordenanza…</t>
  </si>
  <si>
    <t>García, Josef</t>
  </si>
  <si>
    <t>Josef García</t>
  </si>
  <si>
    <t>premo de ía Guerra, fe ha férvido S. M. conceder á D. Josef García, prac ticante de cirugía que fue en la última campaña , y actualmente cirujano en esta corte, el fuero miiitar y uso de uniforme de la clase en que sirvió, y le corresponde como comprendido en el artículo 2° de la circular de 19 de Junio de 1815, por haber se…</t>
  </si>
  <si>
    <t>…an ; .cuya satisfacción tendré en el dia de mañana.” ,,Los conductores de este oficio, que estuvieron en la acción, manifiestan que solo hemos tenido muertos el capitán de Navarra D. Josef García, y unos 50 heridos y contusos. Los enemigos han dejado en el campo de batalla mas ¿de .700 muertos, y un considerable numero de caballos, armas y otros desqpojos, igualmente que una bandera. ■ • 1: 5* tricen que a) abandonar á Calabozo pasaron los rebeldes po…</t>
  </si>
  <si>
    <t>…e Hugo Blair, Muratori, íriarte, Huerta, Florez y Samaniego,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 Martin Saenz, de Lebrija: Don Fraiieised1 González y D. Josef Martínez , de Sanlucar de Barramed…</t>
  </si>
  <si>
    <t>García, Josef Tomas</t>
  </si>
  <si>
    <t>Josef Tomas García</t>
  </si>
  <si>
    <t>…ntal de ja Union D. Manuel Bausa, que al tomar la altura dio disposiciones prontas para cargar al enemigo: al teniente coronel sargento mayor, y comandante ac cidental de Castilla D. Josef Tomas García, que siempre acompañó á las tro-* ' pas de su^cuerpo que cargaron al enemigo: ai teniente coronel comandante del tercer batallón de Numancia D. Manuel de Luna, que hacia de ayudante, y con una partida de guerrilla del batallón de Castilla cargó intrépidamente…</t>
  </si>
  <si>
    <t>García, Juan</t>
  </si>
  <si>
    <t>Juan García</t>
  </si>
  <si>
    <t>…caballería indicada; y como á larga distancia observásemos que se reunían algunos enemigos, hice saliesen sobre ellos 40 dragones y una guerrilla de húsares al mando del ca pitán D. Juan García: inmediatamente disipó aquel grupo j haciéndoles de jar sus caballos ensillados, y recogiéndoles otra caballada que se iban lle vando. „Por la relación que dieron algunos prisioneros supe que Julián Infante había salido el dia anterior de aquel misino sitio c…</t>
  </si>
  <si>
    <t>García, Juan Justo</t>
  </si>
  <si>
    <t>Juan Justo García</t>
  </si>
  <si>
    <t>…. Josef Mariano Vallejo. Al mas sobresaliente de ellos se le dan* ademas una medalla de plata de primera clase. 2.0 Y los tres que sigan á estos en mérito con la obra elemental de Don Juan Justo García. 3.0 El .tratado de aritmética y geometría práctica escrito para la Réaj academia de San Fernando por I&gt;. Benito Bails se adjudicará de premio £ cada ano dé los cuatro discípulos de la sala de esta enseñanza que desempe^ ñen mejor su acto de oposición. AL que…</t>
  </si>
  <si>
    <t>García, Luciano</t>
  </si>
  <si>
    <t>Luciano García</t>
  </si>
  <si>
    <t>…de la Hoz y al de milicias D. Josef Guadalupe Santos. ,,Que una partida , que se había separado del faccioso Perry al cargo del malvado español Vicente Travieso, cayó en manos del capitán D. Luciano García en la colonia del Nuevo-Santander, haciéndoles 28 prisioneros extrañage ros y españoles, y quitándoles 24 fusiles, 3 escopetas, sus municiones, y 700 y tantas muías y caballos que llevaban robados para los Estados*Unidos; de manera que de toda la gavilla solo…</t>
  </si>
  <si>
    <t>García, Luis</t>
  </si>
  <si>
    <t>Luis García</t>
  </si>
  <si>
    <t>…cto, procedió al repartimiento de varios egemplares de las obras de Hugo Blair, Muratori, íriarte, Huerta, Florez y Samaniego,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 Martin Saenz, de Lebrija: Don…</t>
  </si>
  <si>
    <t>García, Melchor</t>
  </si>
  <si>
    <t>Melchor García</t>
  </si>
  <si>
    <t>…e Zamora , á saber: los ocho de 150 pesos creación de 1.° de Ene* rodé 1808, con los núms. 266420, 270338, 292405,293435,293437, 306056, 334717 y 336.112, endosados últimamente en D. Melchor García; y el otro de 300 pesos de i.° de Setiembre de 1808, núm. 55267 en D. Juan Apraiz y Repi de, para que en el término perentorio de go dias, contados desde esta publicación^ comparezcan por sí ó por medio de apoderado ante el Sr. D. Tadeo Soler, alcalde; decano…</t>
  </si>
  <si>
    <t>…e 150 pesos que se han reclamado de la creación de r.° de Enero de 1808, con Jos números 266420, 276338, 292405, 293435, 293437, 306056, 334717 y 336112, en dosados últimamente en D. Melchor García, para que en dicho término , que peren? todamente se ha señalado, comparezcan por sí ó por medio de apoderado autorizado en debida forma ante el Sr. D. Manuel Josef de Arbizu, del Consejo de S. alcalde de la Real Casa y Corte, por la escribanía de provincia q…</t>
  </si>
  <si>
    <t>García, Miguel</t>
  </si>
  <si>
    <t>Miguel García</t>
  </si>
  <si>
    <t>…Ernesto Coók. ', . 1 - ■ Extracto de reglas deducidas del arte poética dé Horacio, traducido en verso cas tellano por D. Juan Triarte, y aplicadas á la retórica; por el mismo Dr. D. Miguel García de la Madrid. Se venden en la librería de Martínez, frente á!S. Felipe el ReaU .y en Barcelona.en la de Brusi. .' v I ;;-o &gt; En la librearía de Qila, calle de las Carretas,. se hallará la música siguiente para la guitarra, Bien copiada y revisada: wals huevo…</t>
  </si>
  <si>
    <t>García, Miguel Calvo</t>
  </si>
  <si>
    <t>Miguel Calvo García</t>
  </si>
  <si>
    <t>…e sobre sí tenga. La persona ó personas que quie ran hacer postura acudan dentro de dicho término ante el expresado señor juez por la escribanía de Cámara de la Sala, del cargo de D. Miguel Calvo García, en donde se les facilitarán las noticias que pidan. Se cita, llama y emplaza á D. Antonio Ponce, D. Manuel Oso rio, y demas que se juzguen interesados en nueve vales Reales, reclamados por el deán y cabildo de la santa iglesia de Zamora , á saber: los ocho d…</t>
  </si>
  <si>
    <t>…qué quieran hacer postura á dichas fincas juntas ó separadas, acudan dentro del tér mino asignado, ante el expresado señor juez por la escribanía de Cámara de la sala del cargo de D. Miguel Calvo García. El beneficiado rector de Villar de Ciervo, en el obispado de Ciudad-Rodrigo, con licencia de su prelado, compró una custodia de la plata que se recogía en esta plaza de los obispados de Avila, Salamanca y Ciudad-Rodrigo. La iglesia ó comu nidad que juzgase p…</t>
  </si>
  <si>
    <t>…que quieran hacer postura y mejoras acudan hasta dicho dia, y en el acto del remate, ante el nominado señor juez comisionado, por la escri banía de Cámara de la sala del cargo de D. Miguel Calvo García. A las fincas sitas en la villa de Carabaña. anunciadas para su venta en virtud de Real facultad en este periódico y diarios de 31 de Mayo y 8 dé Agosto de este año, se ha hecho postura á las siguientes: una tierra de cuatro’fanegas, en el sitio llamado Vacia…</t>
  </si>
  <si>
    <t>…referidas fincas, juntas ó separadas, con tal de que haya en este último caso postores para todas * acuda ante el expresado señor juez co misionado por la escribanía de cámara de D. Miguel Calvo García; -en inteligencia que para el remate se'ha señalado el 21 del ‘Corriente, á la hora de las doce de su mañana, en una de las salas de señores alcaldes. Por providencia del Sr. D. Manuel J osef de Rubio, del Consejo de S. M., y te niente de corregidor de esta m…</t>
  </si>
  <si>
    <t>García, Miguel Josef</t>
  </si>
  <si>
    <t>Miguel Josef García</t>
  </si>
  <si>
    <t>…y heredero de D. Ramón Palacios, cuya testamentaría pende en el juzgado del Sr. D. Josef Cavarn'iles, deíjConsejo de S. M., su alcalde de casa, corte y provincia,)' escribanía de D. Miguel Josef García de la Madrid, ó á los descendientes legítimos del propio D. Julián, para que en el término de tres meses, contados desde la publicación en la gaceta y diario de esta corte de los testimonios de este edicto, que se fijarán tam bién en los parages acostumbrados…</t>
  </si>
  <si>
    <t>…ón Palacios, y se vende á instancia de sus herederos, acuda ante el Se ñor D.;JosefiCavaniltes, del Consejo de S. M., su alcaide dé Casa y Corte, por la escribanía de provincia de D. Miguel Josef García de la Madrid, en el término dé 20 dias contados desde su publicación en í’a gaceta y diario de esta corte, que se les admitirán las que hiciesen siendo arregladas.' Se hailla vacante el partido de médico de la villa de Meco, provincia de Madrid, á una legua d…</t>
  </si>
  <si>
    <t>García, Ramón</t>
  </si>
  <si>
    <t>Ramón García</t>
  </si>
  <si>
    <t>…e húsares de-Fer^ nando vi i compuesto de, í oo plazas, á Jas ordenes del teniente coronel sargen* to mayor del mismo D. Diego Aragonés, y ioo lanceros del país á las del capi tán D. Ramón García: aja izquierda de Castilla el segundo escuadrón de hú-* sares, conf ¡n, misma fiieyza que el: primero, á las del teniente coronel coman—: dante D. Juan Juez. Las voces de viva el Rey, el armonioso estruendo de los clarines, cornetas, tambores y mímica fue la…</t>
  </si>
  <si>
    <t>…Diego Aragonés, que dio la carga con tan buen éxito á la caballería que tenía á su frente, que con ella aterró á la infantería por ser á su vista; al ca pitán de lanceros del país D. Ramón García, qué dirigió aquellos con valor;5 al capitán de cazadores de Castilla D. Josef Tzturiz, que mandaba las doscompañías. Igualmente lo hago á V. E¿ del capitán de zapadores , graduado de teniente coronel, gefe interino del estado mayor de esta división D. Sebas…</t>
  </si>
  <si>
    <t>…lá Ocupaban el primero y* segundo escuadrón de lanceros del Rey á mis órdé-r nes, y la reserva constaba dél tércéro y cuarto escuadrón á las órdenes M capitán graduado de teniente coronel D. Ramón García. La formación de nuestra caballería era la de columna por mitades. La compañía de flanqueadores mandada por su capitán Reyes Al varado ocupaba todo él frenté ét? guerrillas. En éste estado ; luego qué acabó de aclarar , nos hallamos á medid tiró de canon unos…</t>
  </si>
  <si>
    <t>García, Salvador</t>
  </si>
  <si>
    <t>Salvador García</t>
  </si>
  <si>
    <t>…orte. Los capitanes D. Josef Miguel Carballo, D. Francisco Sañudo y D. Pedro! Antonio Blasco; los teñiéntes P. Josef'Llórente, D. Josef Miguel Fernandez, D; Juan Bautista Vid al y D. Salvador García del* Corral’; los subtenientes D. Santiago Bullosa y Don Marcos Domínguez ; sargentos primeros distinguidos D. Mariano Sabas de la Peña, D. Josef Arostegui y D. Francisco Ruibal; sargentos primeros Lázaro Muñoz y Manuel del Rosario; idem segundo Rafael Nolasc…</t>
  </si>
  <si>
    <t>García, Vicente</t>
  </si>
  <si>
    <t>Vicente García</t>
  </si>
  <si>
    <t>…n D. Aór drés Rico, D.Torñas Perez Trujillo, los tenientes D. Josef del Cerro , Doq Guillermo Pinilla, D, Domingo Verastigui, los subtenientes D. Josef Cea, D.* Nicolás Calderón y D. Vicente García : heridós los tenientes D. Francis co Latorre, D. Castor. Martínez y ef iubténkme DÁ Francisco Aldana: los</t>
  </si>
  <si>
    <t>García.’, Diego</t>
  </si>
  <si>
    <t>Diego García.’</t>
  </si>
  <si>
    <t>…eron. Todo lo que participo á vmd. para su satisfacción y fines consiguientes. .h :,, Dios Aguarde á vmd. muchos años. S. Pedro Enero 22 de 1818. =r Josef Aguilera* aeSr. Icápitan D. Diego García.’*</t>
  </si>
  <si>
    <t>Garlos</t>
  </si>
  <si>
    <t>594</t>
  </si>
  <si>
    <t>…0.. Aguila 500. Castilla 440. S. Juan Bautista 450. Gobernadora 300. Presidenta 300* Comercio 250. Vigárreóá 2 50. Total 3900. Cuerpos de que se compone. ,, Regimiento del Infante D. Garlos t2oo&gt; hombres. Burgos 8po. Arequipa 900. Fardos y Morenos 30c». Lanceros 180 •» tapadores 100. Artillería 200. Húsares ioq. Milicias provinciales 12a. To tal 3900.’* Madrid t$ de Jumo. En el sorteo de la Real lotería moderna celebrado el día 13. del corriente…</t>
  </si>
  <si>
    <t>Gárlos</t>
  </si>
  <si>
    <t>…lbo , gentild hombre de Cámara de S. M. El Rey nuestro Señor se dignó honrarlos con su presencia , acompañado de su augusta Esposa- y de SS. AA. los Serenísimos Sed ñores Infantes D. Gárlos; María y -Doña María Francisca de Asís y D. Fran-* cisco de Paula ,, dando ?por este mediómh' publico testimonio ¡del aprecio -qub les. merece aquel establecimiento, y del esmero con que pro tejen el estudio de •las ciencias. !■■■ ■■■ -;r. A pesar del respeto…</t>
  </si>
  <si>
    <t>…ición de la historia general de España del P. Juan de Mariana, ilustrada con notas históricas y críticas,*y tablas cronológicas, desde los tiempos mas antiguos hasta la muerre del Sr. D. Garlos in; por el Dr. D. Josef Sabau y Blanco, canónigo de' la santa iglesia metropolitana de Burgos , é individuo de la Real academia de la historia, acudirán á recoger el tomo 7.0 y pagar el 8.°, que está ^n prensa, á la hhrerí^ld# Quirós, calle de -Atocha. — Tamb…</t>
  </si>
  <si>
    <t>Garnand, Antonio</t>
  </si>
  <si>
    <t>Antonio Garnand</t>
  </si>
  <si>
    <t>…ano clé rigo seglar: 6 sacerdotes del país: unos 3® cristianos: religión cristiana pro hibida á los siamenses, y tolerada para los originarios de otros paises: vica rio apostólico D. Antonio Garnand, obispo de Metilepolis. jResumen. Tres obispados ordinarios: siete vicariatos apostólicos: reinos y provincias que comprenden estos obispados y vicariatos: China, Tunkin, Cochinchina, Chiampa, Camboja y Siam: obispos 11, misioneros 26; í Saber, 10 franceses,…</t>
  </si>
  <si>
    <t>Garnerín</t>
  </si>
  <si>
    <t>…la promesa honorífica de contar por pri meros espectadores á SS. MM. y Real familia. Para que el público pueda formar idea segura y cierta de esta prodigiosa invención expondrá el Sr. Garnerín el globo , paraguas y barquichueio en un lugar conveniente para satisfacer la curiosidad pública hasta que se veri fique el ascenso de su hija; lo que se avisará por los papeles públicos y carteles. Por prpvídencia del Sr. D. Joaquín Almazan y Ximeno, del Con…</t>
  </si>
  <si>
    <t>Garnerin</t>
  </si>
  <si>
    <t>…l autor de la idea faltasen ninguna de las cosas necesarias para el objeto, ni que el público espectador de esta diversión gratuita echase de menos los bien probados ta lentos del profesor Garnerin. Los religiosos franciscanos españoles, que salieron de Gibraltar para la Tierra Santa en Noviembre del año pasado, escriben desde Jerusalen con fe cha de 11 de Enero último lo siguiente: ,, Desde nuestra salida de Gibraltar el 27 de Noviembre próximo pasado,…</t>
  </si>
  <si>
    <t>Garnerin, Elisa</t>
  </si>
  <si>
    <t>Elisa Garnerin</t>
  </si>
  <si>
    <t>…'"r ------------------------ — —;--------------------------------- ------- —-------------------------------------------------- :------------------ :----------- -——— n n 1111 n mi Doña Elisa Garnerin egecutárá el domingo 19 de Abril su duodécimo des censo del globo con el paracaidas en el parterre, ó jardín bajo, del Real sitio del Retiro. Toda esta semana , empezando desde ayer domingo, se manifestarán al público en el salón de Embajadores del Retiro el…</t>
  </si>
  <si>
    <t>Garnerín, Elisa</t>
  </si>
  <si>
    <t>Elisa Garnerín</t>
  </si>
  <si>
    <t>3 6° necesario á sa cDmpIímiento.srRubricado de la Real mano-s= Palacio 3 de Abril de,1818. =rA D. Martin de Garay.’* , , r:v : Doña Elisa Garnerín suplica á los señores suscripto res se sirvan dispen sarla de presentarse en sus casas por estar ocupada en los preparativos de su experimento, y en su consecuencia ruega á dichos señores tengan la bondad de suscribirse en su casa, calle de Alcalá, núm. 5, do…</t>
  </si>
  <si>
    <t>…de marques de Casa-Ramos de la Fidelidad y viz conde de: Casa- Chavescon la facultad de vincular, una parte, de sus bienes, y de redimir las lanzas y medias anatas» El ascenso de Doña Elisa Garnerin en el globo,, que estaba preparado para el dia «9 , se suspende hasta el domingo 26’ con motivo de la obra que se está, egecutando en la puerta de entrada al parque.del Retiro,que no pue de concluirse para dicho dia 19; Como Doña Elisa Garnerin al descender e…</t>
  </si>
  <si>
    <t>…de caíga el globo to men todas las medidas oportunas á su conservación. Sin embargo de esto, por si acaeciese caer el globo mas allá dei término arriba indicado, se hace saber que Doña Elisa Garnerin promete la recom pensa de 500 rs. vn., que ella misma dará al que hallase el globo, ó á los que dieren noticia de él á las autoridades, ademas de costear su conduccioo al Real sitio del Retiro de Madrid. Vuelven á manifestarse al público el globo, para-caídas…</t>
  </si>
  <si>
    <t>…e les da este aviso* Se han esparcido, con motivo de la suscripción para el experimento aereostático, que en virtud de autorización de S. M. debe hacer en el Real sitio del Retiro Doña Elisa Garnerin el domingo próximo 26 del corriente, ru mores injuriosos á su reputación y al respeto que profesa al público dé esta muy heroica villa en general, y en particular á los personages que tuvo la honra de solicitar por suscriptores. Doña Elisa Garnerin no ha podi…</t>
  </si>
  <si>
    <t>…tal, comunicándola á las diversas autoridades con el fin de que en el parage donde caiga éf globo’ se tomenntodas las medidas oportunas para su conservación..__Ademas"de esto5ofre^Doña Elisa Garnerin la recompensa de 500 rs. vn., sinécontar los gastos que origine la con ducción del globo al Real sitio del Rétird, á la persona d personas que le' encuentren, y procurando su conservación den noticia de él á las autorida des territoriales con el referido obje…</t>
  </si>
  <si>
    <t>Garnier, Francisco de Paula</t>
  </si>
  <si>
    <t>Francisco de Paula Garnier</t>
  </si>
  <si>
    <t>…el martes 15 dél corriente á las nueve de su mañana, en que pronunciará una oración’ latina inaugural el M. R. P. catedrático de teología Fr. Sebastian Cáceres, y otra castellana D. Francisco de Paula Garnier, alumno de sus Reales estudios, y profesor de la Real academia de Teología, á las qué ha resuelto asistir S. A. Serenísima como su protector. . La matrícula estará abierta desde dicho dia hasta l.° de Noviembre. De seoso dicho Real colegió de proporcionar á l…</t>
  </si>
  <si>
    <t>Garpena, Fray Roque</t>
  </si>
  <si>
    <t>Fray Roque Garpena</t>
  </si>
  <si>
    <t>…a Fojrmosa, Chekiang y Kiangsl. Un obispo y dos misioneros dominicos españoles (7): ocho sacerdotes del pais: unos 36© cristianos: religión cristiana prohibida: vicario apostólico D. Fray Roque Garpena, obispo de Jebestan. Stj-chuen. Provincia de Su-chuen y Sunnan: dos misioneros franceses, clérigos seglares del seminario de París: 22 sacerdotes de! país: unos 70® cris tianos; religión cristiana prohibida: el último vicario apostólico D. Gabriel Dufresen, o…</t>
  </si>
  <si>
    <t>Garrido, Josef Olmedilla y</t>
  </si>
  <si>
    <t>Josef Olmedilla y Garrido</t>
  </si>
  <si>
    <t>…alientes. Obtuvieron los premios: En la primera, clase: D. Miguel Gutiérrez y Parada, uno de los que quedaron aprobados para pasar al estudio de faculta des mayores; en la segunda D. Josef Olmedilla y Garrido, y en la tercera D. Asustin de Cuenca. El público manifestó la mas grata complacencia al ver los adelantamientos y compostura de los discípulos, dando las debidas gracias á su catedrático. Madrid iG de "Noviembre. En el sorteo de la Real lotería moderna celeb…</t>
  </si>
  <si>
    <t>Garrido, Juan</t>
  </si>
  <si>
    <t>Juan Garrido</t>
  </si>
  <si>
    <t>…Lo que se avisa á todas las personas que tengan derecho á los bienes de dicha testamentaría para que comparezcan á deducirle ante dicho señor , por la es cribanía de provincia del Sr. D. Juan Garrido, al cargo de sii.habilitado, y concur ran á dicha junta por sí, ó por medio de apoderado autorizado en debida forma; con prevención que el que no lo haga le parará el perjuicio que haya lugar. No habiendo tenido efecto la venta de todas las fincas existentes…</t>
  </si>
  <si>
    <t>800 por la escribanía de provincia del Sr/D. Juan Garrido, al cargo de su habilitado; eninteligencia que pasado dicho término sin haber comparecido les parará el perjuicio-, que haya lugar. En virtud de providencia del Sr. D. Ramón Satue, del Consejo de S. M., su alcalde de Real Casa y Corte, á instancia de D. Pedro…</t>
  </si>
  <si>
    <t>Gas</t>
  </si>
  <si>
    <t>…una,En de Nunez D. de Guzman, Francisco Sánchez, y D. Alfonso de Villegas: 15. Ñuño.Nuñez Rasura¿ Lain Calvo, Pedro Navarro, D. Juan Bautista Perez, D. Gerónimo Gómez de Huerta, y D. Gas par de Guzman y Pimentel. (Se continuara.') El Sr. D. Angel Fernandez de los Ríos, del.Consejo de S. M., teniente corre gidor de esta muy heroica villa, ha señalado el domingo 11 del corriente á las nue ve de su mañana , para celebrar junta general de acreedo…</t>
  </si>
  <si>
    <t>Gas, Francisco</t>
  </si>
  <si>
    <t>Francisco Gas</t>
  </si>
  <si>
    <t>…apresar con la madrina de caballos que llevaban á reserva, porción de armas, monturas y muchos caballos ensillados. Solo la pérdida de Palmero en am ibos encuentros ha sido la dél teniente D. Francisco Gas tañed a y un-carabi-</t>
  </si>
  <si>
    <t>Gascue, Pablo</t>
  </si>
  <si>
    <t>Pablo Gascue</t>
  </si>
  <si>
    <t>…apetilío 8, D. Francisco Espar 6, D. Fran cisco Ríos i , Sr. marques dy Mijares 2 , D. Lorenzo Solórzano 10, D. Pe dro Josef Solórzano 16, DvJuan; Jósef Echezuria y Echeverría 6 &gt; D. Pablo Gascue ■*, D. Manuel Manrique y Sierra 6' ,T). Feliciano Palacios 6yD. Juan • Josef Bahamondé 6 , D. Manuel García de Noda 2 , D. Francisco Cartagena 6, jb. Jaime Cedo 4, D. Manuel Franco y, D. Ignacio Sosa 6, D* Bernardo Ferrara 6 , D. Juan Lander 4, Doña María Ger…</t>
  </si>
  <si>
    <t>Gaspar</t>
  </si>
  <si>
    <t>522 mientosdel comandante espitan D. Gaspar de'Rema j oficiales ‘y demás in dividuos del Real cuerpo queda han dirigido y mencionaré mas adelante, ios cuales, sin dejar de causar diariamente mucho daño al enemigo , han puesto granos á dos piezas de á 12 que se desfogonaron, han recompuesto el cureñage,…</t>
  </si>
  <si>
    <t>Gast, Martin de</t>
  </si>
  <si>
    <t>Martin de Gast</t>
  </si>
  <si>
    <t>.'Í:) 1 J su '" 1~n e~ jUZ33do í.';'.:il cid Sr. 'D. Martin de Gast~ñ3ga, dd Consejo U~ s. '~vr. d b ' d .. . . dI':l 1. .:a.U'~1 .e a ml~nu e ania e prOV1llCla .J ..:'!C• ('",Jasa y e orte, y escr}. y comblOneS D. ~L~ll""l Lope:l de Riv3S, se halla radicada ]a tcst::1l11entarÍa dd difunto D. Leon Gan::.;':i. Senano ~ vi!cino…</t>
  </si>
  <si>
    <t>Gastañaga, Martin de</t>
  </si>
  <si>
    <t>Martin de Gastañaga</t>
  </si>
  <si>
    <t>…el día designado, y hora de las nueve de su mañana, en la posada de dicho señor ; entendidos que de no hacerlo les parará el perjuicio que haya lugar. En virtud de providencia del Sr. D. Martin de Gastañaga, del Consejo de S. M., su alcalde de Casa y Corte, autorizada del escribano de provincia y comisiones de la misma D. Manuel López de Rivas, se ha acordado convocar á una junta general de todos los interesados y acreedores á la testamentaría de D. Francisco de…</t>
  </si>
  <si>
    <t>…r cual quier título á iosíbi^nes de dicho difunto ¿‘deducir sus, acciones ,pór sí ó por ’medio de procurador, pues,de lo contrario les parará el perjuicio que haya lugar. f Por el Sr. D. Martin de Gastañaga, del Consejo de S. M., su alcalde de Casa y Corte, se ha señalado el sábado, 21 del;corriente mes de Noviembre, á las doce en punto en su audiencia, para él remate en pública subasta de las tierras, eras de pan, trillar y demás"edíificdps,"pérlériécíentes 1í'…</t>
  </si>
  <si>
    <t>Gastáñaga, Martin de</t>
  </si>
  <si>
    <t>Martin de Gastáñaga</t>
  </si>
  <si>
    <t>…o quinto llamamien to que hace á una fundación de mayorazgo; pues pasado sin verificarlo, les parará el perjuicio que haya lugar. , ' V Por providencia dé 18 del corriente mes del Sr. D. Martin de Gastáñaga, del Consejo de S. M. , su alcalde de Casa y Corte, - refrendada del escribano de provin cia y comisiones de la 'misma D. Manuel López de Rivas ; se ha mandado- sacar á publica subasta , por término de 15 dias, el traspaso y venta de1 todas'dais maderas, ense…</t>
  </si>
  <si>
    <t>T2l6 En virtud de providencia clel Sr. D. Martin de Gastañaga, del Consejo de S. M., su alcalde de Ca^a.y Corte, autorizada del escribano de provincia y comisiones de la misma D. Manuel López de Rivas, y para pago de un acreedor, se ha mandado vender en pública subasta una porción de efectos de pasamanería, como son gal…</t>
  </si>
  <si>
    <t>…s 11 fanegas y medía de tierra, libres uno y otro de todo gravamen. El que quiera hacer postura á todo lo demas, ó mejorar lo rematado, acuda ante ei señor alcalde de Casa y Corte D. Martin de Gastañaga, y escribanía de provincia de D. Manuel López de Rivas; en el supuesto de que está señalado para su remate el día 9 de Enero del año próxi mo venidero, á las 1 2 en punto, en la audiencia del mismo señor alcalde y citada escribanía de provincia. Por providenc…</t>
  </si>
  <si>
    <t>Gástlereagh</t>
  </si>
  <si>
    <t>Sé sabe ya de seguro que vendrá" también él duque de Richeíieu con. al gunos empleados dél ministerio de su cargo, lord Gástlereagh .y el duque-de. . .: ^ - W-ellingtom&gt; no . . • l . . • ■ - ...... Tenemos fundamentos para creer que ademas .de los, tres Soberanos acudi-r •rán también otros, á pesar de que no hayan de tomar parte en bs conferen-ícías diplomáticas del-congreso, y que el Rey…</t>
  </si>
  <si>
    <t>Gastlereagh</t>
  </si>
  <si>
    <t>…erca de la corte de ¡Francia, el cual vino á desempeñar una comisión de sirSoberano cerca del nuestro mientras estuvo en Amsterdam. PRUSIA. Aquisgran 14 de Octubre. Se asegura que lord Gastlereagh va á presentar aíT congreso una-memoria de sir Josef Banks, sobre el modo de libertar á la Europa de la vecindad de los berberiscos, y restituir la’Civinzadoní á las costas septentrionales del Africa. Hoy ha llegado aquí el gran duque Constantino, procedente…</t>
  </si>
  <si>
    <t>Gátrrlhr, Miguel</t>
  </si>
  <si>
    <t>Miguel Gátrrlhr</t>
  </si>
  <si>
    <t>…diencia-de'Goatemala^ *por %a$láéi©ñ 4 lá* de Cuba do D.&gt;cAgustín Gómez Ochagavia, á D. Joaquíñlbnnez. 1 * ; Para el corregimiento de Quesalte,nango / por haber cumplido su tiempo D. Miguel Gátrrlhr üé Albornoz / há Veííido* S. M. enfnbmbf^r !á D/luán jW sefiEcheyarm. &gt; j h i 3 i- 4 1 / • 3:i' a- i.i . O .m c; ‘; ; Lhv aténcion á ios ‘seryJc.ípÁy coronel /eghniépto.: infantería de lá; ^ictpriá^ fufi© .de ,lpp .que ,componqq el egército expedicionario de.…</t>
  </si>
  <si>
    <t>Gaviria, Manuel</t>
  </si>
  <si>
    <t>Manuel Gaviria</t>
  </si>
  <si>
    <t>…a demarcación de Gastiila la Nueva, con inclusión de las Reales caballerizas y cuerpo de Guar dias de la Real Persona de S. M., bajo las proposiciones que á este fin tiene' hechas D. Manuel Gaviria, vecino de esta corte, por las cuales se obliga á ve rificar dicho suministro, dando la ración de pana 25 mrs., la fanega de ceba da á 26 rs., y la arroba de paja á 76 mrs., todo con arreglo al pliego de con- , diciones formado por la contaduría de data y gue…</t>
  </si>
  <si>
    <t>Gaxiuza, Domingo</t>
  </si>
  <si>
    <t>Domingo Gaxiuza</t>
  </si>
  <si>
    <t>…á hacerse cargo de algunos bienes íjue le pertenecen en Madrid á Di Santiago Salanueva, calle de Juanelo, núm. 15, cuarto principal, y en la ciudad de Estella, reino de Navarra, á D. Domingo Gaxiuza, escribano Real. En 2 de Febrero del año de 1814 se embarcaron en Cádiz en el bergantín Eolo, para Veracruz y la Havana, D. Josef Pujadas y Boils, y Josef Fernandez, ambos naturales de Madrid, y con un mismo designio de seguir la náutica. Quien supiere el par…</t>
  </si>
  <si>
    <t>Gay, Josef de</t>
  </si>
  <si>
    <t>Josef de Gay</t>
  </si>
  <si>
    <t>…á V. E. muchos años. Xalapa Junio 19 de 1818. Excmo. Sr. = Ciríaco de Llano. == Excmo. Sr. virey D. Juan Ruiz de Apodaca.” ' ZACATECAS. Oficio del brigadier y comandante geney al D. Josef de Gay angas. ,, Excmo. Sr.: Por los partes que he recibido de fos comandantes milita res de esta provincia de mi cargo resulta que en toda la semana próxima an terior no ha ocurrido en toda ella ninguna novedad , lo que participo á V. E, para su. superior y debido…</t>
  </si>
  <si>
    <t>Gayoso, Miguel</t>
  </si>
  <si>
    <t>Miguel Gayoso</t>
  </si>
  <si>
    <t>43 * Los individuos que.' componían dicha comisión fueron los Excmos. Sres. Don Manuel López Araüjo, consejero de Estado, y D. Miguel Gayoso d&amp; Mendo za , señor de Ruvianes, grande de España de primera clase, el M. Iltre. Señor abad de S. Isidro de León D. Fr. Teobaldo Rodríguez Gallego, el lectoral de la metropolitana iglesia del apóstol Santiago D.,Andrés Ribera y el Di. Don Josef Lamas Pardo, r…</t>
  </si>
  <si>
    <t>Gaztañag, Martin de</t>
  </si>
  <si>
    <t>Martin de Gaztañag</t>
  </si>
  <si>
    <t>272 S. M. ya citadas, según y como en añas y otras se contiene» por convente asi al Real servicio y al interes de la salud pública. En virtud de providencia de 3 del corriente del Sr. D. Martin de Gaztañag* del Consejo de S. M., su alcalde de Casa y Corte, refrendada de D. Manuel López de R.¡ ras, escribano de provincia y comisiones, que loes también del juzgado de comandancia de los Reates cuerpos de Artillería e Ingenieros de esta plaza, se cita, llama y empl…</t>
  </si>
  <si>
    <t>Gaztañaga, Martin de</t>
  </si>
  <si>
    <t>Martin de Gaztañaga</t>
  </si>
  <si>
    <t>…te las expre sadas temporadas de baños los médicos directores residirán en ellos, como el Rey nuestro Señor lo tiene mandado en beneficio del público. En virtud de providencia del Sr. D. Martin de Gaztañaga,. del Consejo de S. M., su alcalde de casa y corte, refrendada de D. Manuel López de Rivas, escribano de provincia y comisiones, y del juzgado de comandancia de los Reales cuerpos de Ar tillería é Ingenieros de esta plaza, y á instancia del Sr. D. Antonio Gui…</t>
  </si>
  <si>
    <t>de Csrabanchel de abajo# en el juzgado civil del señor alcalde de Casa y Corté Don Martin de Gaztañaga, y escribanía de provincia y comisiones de D. Manuel Lope*, de Rivas# se ha mandado por dicho señor citar y emplazar, como se hace por me dio de este periódico, á lodos los que se contemplen acreedores á Ja referida testa mentaría, para que en el término de 1…</t>
  </si>
  <si>
    <t>…an generosa oferta cón la dulce bondad que le ca racteriza, mandando se publique en lagaceta. r &gt; : En virtud de providencias de 11 de Febrero próximo y 5 del corriente del Se ñor D. Martin de Gaztañaga, del Consejo de S. M., su alcalde: de Casa y Corteé refrendada de D. Manuel López de Rivas, escribano de provincia y comisiones dé la misma, y de los Reales cuerpos de Artillería é Ingenieros de esta plaza,f i ins tancia del señor brigadier de los Reales egér…</t>
  </si>
  <si>
    <t>Gaztanaga, Martin de</t>
  </si>
  <si>
    <t>Martin de Gaztanaga</t>
  </si>
  <si>
    <t>…er postura á ellas acuda ante dicho señor y’ escribanía del número de D. Antonio López de Sálazar, que se admitirán las que se hicieren siendo arregladas. .En el juzgado civil del Sr. D. Martin de Gaztanaga, alcalde de Casa y Corte, y ¿scribanía de provincia de D. Manuel López de Rivas, se halla radicada la testamen taría de D. Joséf de la Dehesa, vecino y del comercio que fue en esta corte; y en1 virtud de junta general celebrada el i.° de Mayo anterior de todo…</t>
  </si>
  <si>
    <t>…n junta general de acreedores á la testamentaría de D. Juan de Andrade,, vecino que fue de Aravaca, celebrada en 26 de Julio anterior ante el señor alcalde de la Real Casa y Corte D. Martin de Gaztañaga, y escribanía de provincia y comisiones de ella de D. Manuel López de Rivas, se acordó éntre otras cosas proceder á lai venta de las tierras, era y demás .edificios correspondientes á dicha testamentaría, si tuadas aquellas en los términos de Majadahonda, Hum…</t>
  </si>
  <si>
    <t>…Juan de Torquemada, Hernando de Soto, D. Rodrigo Ximenez, Sto. Tomas de Villanueva, Diego Gar cía de Paredes, y Francisco Pizarro. (Se continuarán.') En virtud de providencias del Sr. D. Martin de Gaztañaga, del Consejo de S. M., su alcalde de Casa y Corte, refrendadas del escribano de proinncia y comisiones de la misma D. Manuel López de Rivas, se cita y emplaza por segundo y ultimo tér mino de 20 dias, contados desde la publicación de este aviso, á los actuale…</t>
  </si>
  <si>
    <t>…dicha junta. A instancia de varios acreedores á la testamentaría de D. Julián Alonso y Estrada; vecino y escribano de provincia que fue en esta corte , radicada en el juzgado del señor D. Martin de Gaztañaga, del consejo de S. M., su alcalde de Casa y Corte, y escri banía de provincia y comisiones de la misma de Manuel López'de Rivas, se ha mandado celebrar junta general de todos los que se contemplen interesados en dicha testamentaría, y señalado para ella el mi…</t>
  </si>
  <si>
    <t>Geer, Cárlos de</t>
  </si>
  <si>
    <t>Cárlos de Geer</t>
  </si>
  <si>
    <t>Bonde, primer gentilhombre de Cámara. Han sido nombrados condes los con sejero^ 'át. Estado barones FlemmTtfg y Lagerbdng, como, también el barón Cárlos de Geer. La Dieta de Noruega, por medio de una diputación de 12 individuos, presente# ab Rey una exposición manifestando su ardiente deseo de que S. M. vaya luego á recibir la corona de Noruega. S. M. respondió en los términos siguientes: ,, Señores : recibo con grat…</t>
  </si>
  <si>
    <t>Genaro, Luis</t>
  </si>
  <si>
    <t>Luis Genaro</t>
  </si>
  <si>
    <t>…gente. Fue herido en la rodilla de poca consideración, y se señaló este oficial, como acostumbra, por su extraordinario arrojo. ,, El coronel del regimiento infantería de Navarra D. Luis Genaro de la Rocque ha mostrado, á la cabeza de su cuerpo, en esta ocasión que es acree dor al buen concepto que merece en el egército, habiéndose señalado en los diferentes empeños que tuvo su regimiento. „ Asimismo recomiendo á la consideración de V. E. al capitán…</t>
  </si>
  <si>
    <t>…tilla , dando las disposiciones mas acertadas .para defender los pasos que se le encargaron; debiéndose á su valor, asi como al del coronel del regí-» miento infantería de Navarra D. Luis Genaro de la Rocque, los felices resul tados de la batalla. „EL brigadier D. Ramón Correa, gefe interino del estado mayor general, se ha distinguido en tedas las acciones dadas estos dias, y ha contribuido conr su previsión, actividad y zelo á conservar el orden y s…</t>
  </si>
  <si>
    <t>GerónimoTavern</t>
  </si>
  <si>
    <t>…n de un chi leno que se fue con ellos voluntario. Barcelona 10 de Junio. i En la junta literaria que celebro la Real academia de ciencias naturales y artes el dia 3 del corriente, D. GerónimoTavern , su individuo numerario en la dirección de matentáticas y mecánica, leyó una memoria sobre la hor¿ naguera, llamada comunmente carbón de piedra: expuso las Varias opínio** hes que hay sobre su formación , y las partes del globo en que principal'? mente se ha…</t>
  </si>
  <si>
    <t>GH, Lamberto</t>
  </si>
  <si>
    <t>Lamberto GH</t>
  </si>
  <si>
    <t>…blo de Pedernales, cuyos vecinos se valen de este médico. Los Lusíadas, poema épico de Luis de Camoens, príncipe de los poetas de Es paña, que tradujo al castellano en octava rima D. Lamberto GH, penitenciario en el Real oratorio del Caballero de Gracia de esta corte: dos tomos en 8.° prolonga do. Si esta obra necesitase recomendación, bastaría decir que se ha traducido mas de 24 veces á varias lenguas; que en estos últimos años la Francia* Italia, A…</t>
  </si>
  <si>
    <t>Ghicóntepec, Pedro Santos de</t>
  </si>
  <si>
    <t>Pedro Santos de Ghicóntepec</t>
  </si>
  <si>
    <t>…y libertaron á varios soldados de fieles realistas dé Ixhiiatlan del caudaloso rio de Vinasco. ■ ' ‘ : / ,,El subteniente de realistas de Huexütla D. Antonio Caro y el de su clase D. Pedro Santos de Ghicóntepec supieron oportunamente auxiliarme con U mayor intrepidez con 20 infantes ae los suyos, cuando me, vi envuelto cóii soló 7 dlagóiies él día de la acción de Sombrerete éntre mas de 50 rebeldes. ,, El subteniente. D. Blas Azcárate hizo y está haciendo de mi ayud…</t>
  </si>
  <si>
    <t>Ghirinos, Antonio</t>
  </si>
  <si>
    <t>Antonio Ghirinos</t>
  </si>
  <si>
    <t>…,, A las 4 de la tarde se me incorporó este oficial, é inmediatamente em prendí mi marcha para este punto, donde llegué á las 10 de la noche; y al amanecer, del .22 hice salir al comandante D. Antonio Ghirinos , á quien ya tenia prevenido de antemano!, don 46 infantes de los que yo traía, para que dejándolos de guarnición'; en Tan tima' á las órdenes del subteniente de Ja cuarta D. Pedro Vázquez, regresase ayer con la fuerza que alli estaba, la que unida á la de es…</t>
  </si>
  <si>
    <t>Gi, Antonio Félix García</t>
  </si>
  <si>
    <t>Antonio Félix García Gi</t>
  </si>
  <si>
    <t>…a á este objeto, sin perder de vista los de mas que las circunstancias exijen. Mota del Cuervo, provincia de la Mancha, 8 de Setiembre. El maestro de primeras letras de esta villa D. Antonio Félix García Gi rón , para manifestar que proporcionaba á los niños de su cargo la instrucción cristiana y política de que son susceptibles, de acuerdo co i el alcalde mayor el Lie, D. Tiburcio Asiain y el cura párroco el Dr. D. Félix Salcedo Alvares de Toledo, reunidos en l…</t>
  </si>
  <si>
    <t>Giiemes, Cristóbal Gómez y</t>
  </si>
  <si>
    <t>Cristóbal Gómez y Giiemes</t>
  </si>
  <si>
    <t>…que se avisa al público para su inteligencia á los fines que le convengan. ' A virtud de providencia del tribunal del Santo Oficio de la Inquisición de esta Corte, á instancia de D. Cristóbal Gómez y Giiemes, tesorero receptor general del Consejo de la suprema y general Inquisición , se cita, llama y emplaza á los que se crean con algún derecho á los vales siguientes: Cinco de óoo pesos de Enero, se ñalados con los húmeros 367072,363676, 364644, 372745 y 373107*…</t>
  </si>
  <si>
    <t>Gil, Antonio</t>
  </si>
  <si>
    <t>Antonio Gil</t>
  </si>
  <si>
    <t>…del mismo cuerpo D. Agustin Lázaro. También han sido heridos el ayu dante D. Víctor Urquiza, y el subteniente D. Juan Santiago, del regimiento de la Union , el teniente de Búrgos D. Antonio Gil, y el capitán de Navar ra D. Antonio Ladoux. El capitán de Granada D. Pió Sánchez Garcés fue contuso. „Los capitanes del regimiento de la Union D. Pascual Churruca y Don Joaquín Dalmau , y el teniente del mismo cuerpo D. Manuel Crespo, estu vieron á la cabeza…</t>
  </si>
  <si>
    <t>Gil, Blas</t>
  </si>
  <si>
    <t>Blas Gil</t>
  </si>
  <si>
    <t>…ste de Barbacoas, desde cuyos puntos podré acudir adonde fuese necesario, por ser el centro de la línea que está formada. ,,He dispuesto marche á Camatagua el teniente de Castilla D. Blas Gil, con 30 cazadores á hacerse cargo de aquella comandancia militar, pues se gún orden del Sr. capitán general debe pasar á los Valles con los piquetes de aquellas milicias el que interinamente estaba hecho cargo. ,,Dios guarde á V. E. muchos años. Cantón de Bar…</t>
  </si>
  <si>
    <t>Gil, Josef Mateo</t>
  </si>
  <si>
    <t>Josef Mateo Gil</t>
  </si>
  <si>
    <t>…de cartas egecutada en la administración principal de Correos de Badajoz en el presente año se ha encontrado un vale Real de 300 pesos de i.° de Setiembre de 1809, perteneciente á D. Josef Mateo Gil, quien lo endosa á favor de D. Pedro Prudencio de Agreda , vecino de Viniegra de arriba, su fecha en Bentrosa A6 de Diciembre de 1815, con el correspondiente recibo de 180 rs. y 17 mrs. de sus réditos, dado en la contaduría de Soria en i.° de Setiembre de 180…</t>
  </si>
  <si>
    <t>Gil, Lamberto</t>
  </si>
  <si>
    <t>Lamberto Gil</t>
  </si>
  <si>
    <t>…o y Costa, catedrático del Real jardín Botánico, á 10 rs. en rústica,y 12 en pasta» Poesías de Luis de Camoens, príncipe de los poetas de -España , que tradujo en verso castellano D. Lamberto Gil, penitenciario del Real oratorio del Caballero de Gracia de esta corte: tres tomos en 8.° prolongado. Los dos primeros tomos contie nen los Lusíadas, poema épico; la vida de Camoens, el juicio crítico del poema, la liistríria del viage de Gama á la India, y a…</t>
  </si>
  <si>
    <t>Gil, Mariano</t>
  </si>
  <si>
    <t>Mariano Gil</t>
  </si>
  <si>
    <t>…tarrechea, D. Rafael Rodríguez, D. Juan de Dios Elias, los Sres. Bohe, hermanos y compañía, D. Mariano de Urbíeta, D. Josef Uhicon, D. Ignacio Suarez, D. Francisco Antonio Abadía, D. Mariano Gil y D. Josef Vilar, últimos tenedores de 32 vales Reales, 15 de ellos de 150 pesos, creación de Enero de 1808, con los números 231689, 245110,252506, 253818, 255204, 264499, 269131, 273684, 283688, 287576, 288287, 292535, 307906, 321387 y 338476: seis de 300 pesos, también de E…</t>
  </si>
  <si>
    <t>Gílabert, Genaro</t>
  </si>
  <si>
    <t>Genaro Gílabert</t>
  </si>
  <si>
    <t>…año de 1812, siendo ya capitán del regimiento in fantería primero dé Saboya, y la Doña María Josefa en 27 de Junio de 1814, estan do casada con el capitán de los Reales egércitos D. Genaro Gílabert; para que acudan á deducirlo y exponerlo en debida forma por el oficio del escribano de número D. Clau* dio Sanz, dentro del preciso y perentorio término de 30 días; con apercibimiento de que pasados sin mas citación ni emplazamiento, se accederá á la solicit…</t>
  </si>
  <si>
    <t>Giól, Salvador</t>
  </si>
  <si>
    <t>Salvador Giól</t>
  </si>
  <si>
    <t>…. M., al calde de Casa y Corte, y escribanía de D. Juan Antonio Diaz Nonega que regenta el infrascrito escribano D., Pedro Josef de Ibabe, se ha formado expediente a ins tancia de D. Salvador Giól é hijos, del comercio de esta corte, sobre la pertenencia de dos vales Reales de á 600 pesos, creación de i.° de Mayo de 1808, señalados cón ios números 381069 y 404579, que se hallan retenidos en la oficina de reno vación y espedicion de documentos del Crédi…</t>
  </si>
  <si>
    <t>Gíraldo, Ramón</t>
  </si>
  <si>
    <t>Ramón Gíraldo</t>
  </si>
  <si>
    <t>…regimiento de infantería de Zamora* El Rey se ha servido nombrar para cuatro plazas de oidores de la Real audiencia de Valencia, vacantes por jubilación de D. Manuel de Villafañe, D. Ramón Gíraldo, D. Lorenzo Villanuevay D. Josef Alonso, á D. Miguel Modet, oidor de la audiencia de México; á D. Josef González Tizón , oidoír de la de Cataluña, ambos con su antigüedad; á D. Francisco Xavier Borrulf, y D. Josef de Cartagena, oidores en comisión que han sid…</t>
  </si>
  <si>
    <t>Girona, Agustín Yañez y</t>
  </si>
  <si>
    <t>Agustín Yañez y Girona</t>
  </si>
  <si>
    <t>…de ciencias naturales y artes.de esta ciodad celebró jun ta literaria el día 8 del corriente, cuyos trabajos fueron desempeñados por la dirección de zoólógia y mineralogía. El Dr. D. Agustín Yañez y Girona, so cio de la misma, leyó una interesante memoria, cuyo objeto es trazar el plan que debe seguirse para el estudio de los diversos ramos de la historia natur&gt;ih A este fin hace él autor una comparación de los sistemas llamados naturales y artificiales; y desp…</t>
  </si>
  <si>
    <t>Gironzá', Joaquín</t>
  </si>
  <si>
    <t>Joaquín Gironzá'</t>
  </si>
  <si>
    <t>…ofreció sino una medalla, los directores los juzgaron dignos de esta recompensa, y la academia condescendió con su propuesta; En el dibujo’de principios se adjudicáronlos premiosa D. Joaquín Gironzá' y á D. Josef Val. Hecha la expresada adjudicación se presentaron Jos discípulos én l# junta-ordinaria del 5 del.corriente, y recibieron sus pre«r</t>
  </si>
  <si>
    <t>Gisbert, Pascual</t>
  </si>
  <si>
    <t>Pascual Gisbert</t>
  </si>
  <si>
    <t>…ef Muñoz de Pando D Fe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 previniéndoles que de no acu dir les parará el perjuicio que haya lugar. Quien supiere el paradero de D. Cristóbal Ignacio López de Cárdenas…</t>
  </si>
  <si>
    <t>Gispert, Francisco María Fernandez de Mosteirin y</t>
  </si>
  <si>
    <t>Francisco María Fernandez de Mosteirin y Gispert</t>
  </si>
  <si>
    <t>…es, seguros ya de su suerte, no viviesen con la incertidumbre y desa sosiego que tienen Jen el dia¿ ' . ESPAÑA. M ; Barcelona 19 de Mayo. Se ha publicado aquí el edicto siguiente: Don Francisco María Fernandez de Mosteirin y Gispert, barón de Biure, brigadier de los Reales egércitos, teniente de rey en propiedad de esta plaza, gobernador militar y político interinode la misma y su distrito, y comof tal presidente dé la junta municipal de Sanidad de esta ciudad &amp;c. ’ &lt; Después de las repe…</t>
  </si>
  <si>
    <t>Glive, Luiss María de</t>
  </si>
  <si>
    <t>Luiss María de Glive</t>
  </si>
  <si>
    <t>…d; dé !estosi;óxámei¡iést&lt; ^o¿e^tudá't .habiéndose presentado ¿os discípulos D. Manuel María Tapia y Román, D. Pablo Ramírez *D*P)edrode Ja Cuésta, D. ;GaBrddí de la Cál le’Maaía^ D. Luiss María de Glive ^ Di Josef Cano y Canga y D^ Antonio Fernandez, y sorteáddse.eñtrerellos ekórdeuly. Jas materias sobre! que debían r.seri Examinados ^ fexphcaíoiiír mwiúctoieiiteijtodaiJa teoría de este arte ^cóntestan'do ;com deséínbarazQ¡y^lcldt^&gt; á&gt;fcUfan;tas(prfegunt5p I…</t>
  </si>
  <si>
    <t>Gneisenau</t>
  </si>
  <si>
    <t>…ca de Spandau. Hoy corren voces de que el feld-mariscal Blucher ha muerto de apoplegía, y que el príncipe de Hardemberg se halla enfermo de peligro en Spá. Asimismo se dice que el general Gneisenau va á Londres, y el barón de Huinboldt á Aquisgran. Añaden ademas que el príncipe de Hardemberg ha hecho dimisión de sus destinos para pasar el resto de su vida como simple particular en Glienioke, sin que digan quien ha de sucederle. Ninguna de estas noti cia…</t>
  </si>
  <si>
    <t>Gó, Cristóbal</t>
  </si>
  <si>
    <t>Cristóbal Gó</t>
  </si>
  <si>
    <t>…Oficio de Ja Inquisición de esta corte, inserta en las gacetas de 17 y 21 de Febrero del corriente año, se mandó que los que se creyesen con derecho á varios vales reclamados por D. Cristóbal Gó mez-y Gííemés, tesorero receptor general del consejo de la suprema y general In quisición | acudiesen á dicho tribunal por sí ó por procurador, con poder bastante, «ftt el preciso y perentorio término de 20 dias, contados desde la publicación; y no habiéndolo…</t>
  </si>
  <si>
    <t>Gó, Josef</t>
  </si>
  <si>
    <t>Josef Gó</t>
  </si>
  <si>
    <t>…cristiana, y D. Martin Saenz, de Lebrija: Don Fraiieised1 González y D. Josef Martínez , de Sanlucar de Barrameda : D'. Josef Moreno, D. Manuel Felipe Caballero, D* Gaspar Angulo, D. Josef Gó mez Hormigo y D. Francisco Rodríguez, de Jerez : D. Josef Auñon, de Mo ren : D. Juan Aguado, de las Cabezas: el hermano Josef de la Cruz Menacho, de Puerto-Real: D. Juan Loustalet, de Cádiz: D, Agustín Fernandez, de Bornos: D. Juan Bolaños, de Zalamea: D. Ped…</t>
  </si>
  <si>
    <t>Gó, Manuel</t>
  </si>
  <si>
    <t>Manuel Gó</t>
  </si>
  <si>
    <t>…r el padre capellán de esta sección fueron fusilados. „Por mi parte he tenido la sensible pérdida de an dragón de S. Luis, que murió al asaltar las trincheras, heridos el teniente coronel D. Manuel Gó mez, alférez graduado de capitán D. Feliciano Pedrosa, 4 dragones mas, y algunos contusos. „ Luego que las circunstancias me lo permitan pasaré á las superiores manos de V. E. el detall de esta brillante acción, y recomendaré á los que con tanto honor se han…</t>
  </si>
  <si>
    <t>Go, Ramón</t>
  </si>
  <si>
    <t>Ramón Go</t>
  </si>
  <si>
    <t>…Lerin 15 , D. Juan Josef Fuertes 10, D. Antonio Oramas 10, D. J osef Pacanis y Nicolau 10, D. Juan Tomas Zaldarriaga 10} D. Josef Ignacio Tsquiagav 2o , D. Rafael Minteguiaga 15, D. Ramón Go mia 10, D. Josef Ramón Zozalla 2, D-&gt; Jaime Mas 8, D. Martin de Irrgo•yen 8 , D.; Juan:.Gcrd.il.' d, D¿ tMiguel Antonio Oyarzabal 6 , D. Joaquín/ Emazabei 4, D. Antonio Delgado 4 , D. Vicente.Sarria 4, D. Marcial Bei*7 mudez 4, D. Joaquín Reina y Capetilío 8,…</t>
  </si>
  <si>
    <t>Goenaga, Josef Jesús</t>
  </si>
  <si>
    <t>Josef Jesús Goenaga</t>
  </si>
  <si>
    <t>…icio de las tropas del brigadier D. Francisco Tomas Morales. ■ • El conde de la Granja 6 pesos, D. Pablo Echezuria 10, D. Francisco de Azpurua 20 , D. Juan Santos de Larrazabal 5, D. Josef Jesús Goenaga 10, D. Miguel Martínez 5, D. Pedro Aguerrebere 5, D. Domingo Segura 5 , Don Bartolomé Echenique 5 , D. Toribio Espinosa 20, D. Juan Plá 5 , D. Lo renzo Treillan- 5 , D. Francisco Espelosin 10, D. Miguel Portillo 5 , Don Juan: Hernández 6 , D. Josef Baez 2 , D…</t>
  </si>
  <si>
    <t>Gohelet, Francisco</t>
  </si>
  <si>
    <t>Francisco Gohelet</t>
  </si>
  <si>
    <t>…po de Guardias de Corps, hasta que S. M. se sirvió concederle su retiro en la pla za de Barcelona. Solo consta que en ío de Agosto de 1806 otorgó poder en esta cor¿» te á favor de D. Francisco Gohelet, coronel de caballería agregrado á esta plaza , y de sus dos hermanos D. Federico y D. Felipe Fons, furriel ei uno de ia primera bri gada de la compañía Flamenca, y el otro guardia de la misma. También consta que salieron de tenientes en 23 de Agosto de 1807,…</t>
  </si>
  <si>
    <t>Gojeascoechea, Josef</t>
  </si>
  <si>
    <t>Josef Gojeascoechea</t>
  </si>
  <si>
    <t>…falleció el día 23 de Agosto de este presente año, y ha dejado un legado para sus primos carnales de ambas líneas. Los que tengan derecho acudirán ó se en tenderán por escrito con D. Josef Gojeascoechea, vecino de dicha villa , dentro del • término de 40 dias. .El sexto trimestre de la suscripción á la .Crónica científica .y. literaria concluyó el último dia del mes de Setiembre. Queda abierta la suscripción para , el trimestre si guiente en Madrid, en la.li…</t>
  </si>
  <si>
    <t>…leció el día 23 de Agosto de este presente año, y ha dejado un legado para sus primos carnales de ambas líneas: los que tengan derecho acudirán, ó se en tenderán por eicríto , con D. Josef Gojeascoechea, vecino de dicha villa, dentro del término de 40 dias. Se halla vacante la plaza de médico titular de la villa de Pastrana, cuya dota ción son 6$ rs. anuales cobrados por tercios, y lo que produzca la asistencia al ca-* búdo, y á tres conventos , dos de frail…</t>
  </si>
  <si>
    <t>Golowkin</t>
  </si>
  <si>
    <t>…ediaciones de Weisemburgo, ha llegado yaá Pforzheimy sus contornos. Se asegura que ha sido nombrado en propiedad ministro plenipotenciario de Rusia cerca de la corte de Austria el conde Golowkin, ministro plenipo tenciario de Rusia en las cortes de Wurtemberg y Badén, que hábia reem plazado interinamente en Viena al conde de Stackelberg. PRÜSIA. Bolonia f de Noviembre. Aguardamos aquí un cuerpo de 8© prusianos que viene de las inmedia ciones de Sedan…</t>
  </si>
  <si>
    <t>Golownin</t>
  </si>
  <si>
    <t>406 s mandado por el capitán Golownin, llegó el 18 de Noviembre á Rio-Janeíro; de suerte que rebajando los 15 dias que se detuvo en Inglaterra, ha hecho en 60 dias el viage de Cronstadt á Rio-Janeiro, en donde por la actividad del cónsul general de Rusia, y la condescendencia del Gobierno portugu…</t>
  </si>
  <si>
    <t>Gome, Josef Ignacio</t>
  </si>
  <si>
    <t>Josef Ignacio Gome</t>
  </si>
  <si>
    <t>…su juzgado privilegiado, se cita, llama y emplaza á todas y cualesquiera personas que se conceptúen con derecho á los bienes quedados con motivo del fallecimiento ábintestato del Sr. D. Josef Ignacio Gome* de Teran, marques que fue de Portago, brigadier de los Reales egércitos de S. M.t y capitán del regimiento de Reales Guardias Españolas ,■ ataedido■‘en esta corte. la noche del 29 de Diciembre del año próxim.o.pasado, á fin de que dentro del preci so término…</t>
  </si>
  <si>
    <t>Gómez, Andrés de Estéban y</t>
  </si>
  <si>
    <t>Andrés de Estéban y Gómez</t>
  </si>
  <si>
    <t>…solo de oir á ios otros habían aprendido. Ultimamente Jé-; yeron con despejo y desembarazo en varios libros, dando razón de las síla-, bas y signos de la puntuación. Él limo. Sr. obispo D. Andrés de Estéban y Gómez, que á pesar. de la intemperie se dignó presidirlos, dió las mayores pruebas de sú belo por la educación, premiando á unos niños, socorriendo á otros, y ofreciendo» vestidos á los mas pobres , como efectivamente los han recibido ya completos dejsu benéfica ma…</t>
  </si>
  <si>
    <t>Gómez, Andrés.Esteban y</t>
  </si>
  <si>
    <t>Andrés.Esteban y Gómez</t>
  </si>
  <si>
    <t>…e escasamente habrá 200 insurgentes sitiados ya por Aguirre y Barradas. Jaén jo de Abril, La Real sociedad patriótica de esta provincia de Jaén, presidida por su director el limo. Sr. D. Andrés.Esteban y Gómez, obispo de esta diócesis, continuando sus deseos en fomentar ia educación pública , )a agricultura ,ía in dustria y las artes, y todos los demas objetos de su benéfico instituto , oíjvce para el día 30 de M^yo de este año de 1818 los premios que ba de distrib…</t>
  </si>
  <si>
    <t>Gómez, Antonio</t>
  </si>
  <si>
    <t>Antonio Gómez</t>
  </si>
  <si>
    <t>…los enemigos, que pie á tierra guarnecían lgs bocascalles, y por bastantes fuerzas de caballería que le hicieron replegar algují tanto. Lo mismo sucedió al comandante de escuadrón D. Antonio Gómez, que con sus dragones leales había avanzado por el sitio de la Carnicería; pero Am bos gefes mantuvieron sus soldados con la mayor serenidad sin desorg^núsaupe; y volviendo á la carga dispersaron enteramente á los rebeldes, que se arroja ron atropelladamente…</t>
  </si>
  <si>
    <t>Gómez, Carlota</t>
  </si>
  <si>
    <t>Carlota Gómez</t>
  </si>
  <si>
    <t>…ones á una de las huérfanas de los militares ó patriotas que hubieren muerto en defensa dé la justa causa de la nación, ha cabido en suerte del primer extracto dé la dé este dia á Doña Carlota Gómez de la Serna, hija’ del brigadier ID. Gaspar; muerto en el campo del honor. ' ^ ARTICULO DB OFICIO. El Excmo. Sr. D. Juan Esteban Lozano de Torre*, consejero de Estado, y Secretario del Despacho’: universal de Gracia y Justicia de&gt;España é In dias , remitió al…</t>
  </si>
  <si>
    <t>Gómez, Casimiro Antonio</t>
  </si>
  <si>
    <t>Casimiro Antonio Gómez</t>
  </si>
  <si>
    <t>…hacer postura á las expresadas fincas, ó cualquiera de ellas, acuda ante el Sr. D. Joaquín de Almazan y Ximéno, del consejo de S. M., su alcal de de casa y corte, y escribanía de D. Casimiro Antonio Gómez, que se le admitirá la que hiciere siendo arreglada. Por providencia del juzgado de esta capitanía general de Castilla la Nueva, y para pago de acreedores, se ha mandado vender una casa sita en esta .población, y su ca lle de Hortaleza, que vuelve á la de las…</t>
  </si>
  <si>
    <t>…n molino aceitero con todos sus ense res y pertrechos corrientes, tasado todo en 88$) rs.: las personas que quisieren tratar de su compra acudirán en esta corte á la escribanía de D. Casimiro Antonio Gómez. En lá villa de Utrera, del partido y provincia de Sevilla , se halla vacante el mar gisterio de escribir, cuya dotación son 200 ducados anuales, pagados por Real Ha cienda; con la circunstancia de que la persona en quien recaiga el nombramiento no ha de obte…</t>
  </si>
  <si>
    <t>1232 so de ignorados, para que dentro de 30 días, contados desde primero de este mes, comparezcan ante S. S. y escribanía del cargo del Sr. D. Casimiro Antonio Gómez, por sí ó por medio de procurador, con poder bastante, á decir de su derecho en la instancia de tercería, promovida por la hija y heredera del propio D. Manuel , que si vinieren se les oirá y guardará justicia en lo que la tuvieren; apercibidos que de no comp…</t>
  </si>
  <si>
    <t>Gómez, Félix Lázaro y</t>
  </si>
  <si>
    <t>Félix Lázaro y Gómez</t>
  </si>
  <si>
    <t>…,no se ha tenido mas noticia;y teniendo que comuni carle ciertos asuntos que le interesan, se suplica á cualquiera persona que sepa de su paradero se sirva avisar en esta corte á D. Félix Lázaro y Gómez, que vive calle de los Negros, num. 32, y en Ledesma á Francisco Diez. Instituciones de Castilla, escritas por D. Ignacio Jordán y Aso y D. Miguel de Manuel, corregidas, Ilustradas y adicionadas especialmente con notas por D. Joaquín María Palacios, catedráti…</t>
  </si>
  <si>
    <t>Gómez, Fernán</t>
  </si>
  <si>
    <t>Fernán Gómez</t>
  </si>
  <si>
    <t>…mo heredero, se presentará este en el término de 40 dias en la expresada ciudad. Centón epistolario del bachiller Fernán Gómez de Cibdareal, y generaciones y 'semblanzas del noble caballero Fernán Gómez: un tomo en 8.° marquilla. _Claros varones de Castilla y letras de Fernando de Pulgar, consejero, secretario y coronista de los Reyes Católicos D.Fernando y Doña Isabel: un tomo en 8.° marquilla, á 20 rs. ambos á la rústica. — Breve compendio de los usos y co…</t>
  </si>
  <si>
    <t>Gómez, Josef León</t>
  </si>
  <si>
    <t>Josef León Gómez</t>
  </si>
  <si>
    <t>…amos, naturaleí de la villa dei Pao j aprobados en sus empleos de capitanes de milicias, la nobleza personal *.y la medalla de oro á ambos Ochoas. Capitán de milicias de turnan a. D. Josef León Gómez la nobleza "per sonal* • - Capitán de milicias de artillería de Puerto-Cabello. D. Faustino Garcés la nobleza persona!; . ^ ^ -• &gt; s Guerrillas de¡ Camhtaguai D. Josef Antonio Ramírez y D. Domingo Tason confirmados, en sus empleos de capitanes:, y la nobleza…</t>
  </si>
  <si>
    <t>Gómez, Juan</t>
  </si>
  <si>
    <t>Juan Gómez</t>
  </si>
  <si>
    <t>…anderado D. Pedro Campománes y ios subtenientes D. Antonio Villalba y D. Rafael Villavicencio, heridos de gra vedad: el capitán D. Manuel Velazquez , los tenientes D. Juan Sorelo, Don Juan Gómez, D. Josef Segador, D. Josef Elua y D. Manuel Martin Alvarez, y los subtenientes D. Tiburcio de Cañas, D. Antonio Tuya, D. Ma nuel Sánchez Trívino y D, Martin de Santiestéban, heridos. Dragones de S. Luis: el capitán D. Anastasio Bustamante herido. Dragones de…</t>
  </si>
  <si>
    <t>Gómez, Manuel</t>
  </si>
  <si>
    <t>Manuel Gómez</t>
  </si>
  <si>
    <t>220</t>
  </si>
  <si>
    <t>…ifestó que noti cioso de que en A'ahuixtlan se hallaba una gruesa partida de rebeldes , al man do del faccioso Pablo Campos , Izquierdo y otros, tenia oficiado al teniente corobdl D. Manuel Gómez para batir en Combinación aquel punto. ,,A esta hora, que son las 8 de la noche, llego á este pueblo, y recibo en él el adjunto oficio del mismo Marrón, y parte que le dió el bizarro capi tán D. Bernabé Villanueva de la brillante toma de aquel punto y muerte…</t>
  </si>
  <si>
    <t>…de dragones que el anterior estuvo en observación de mi retaguardia tiroteándose á menudo con el enemigo. „ Serian las tres de la tarde cuando descubrí la vanguardia del teniente coronel D. Manuel Gómez de cosa de 30 hombres, y para cerciorarme des paché al capitán Rodríguez con seis hombres para que le diese parte *á-este gefe del punto que yo ocupaba ; y viste que se dilataba dejé dispuesta mí columna á las órdenes del teniente Yañéz, mientras yo pasaba á…</t>
  </si>
  <si>
    <t>…sobre Jas lomas de S. Si món , desde donde observé que los enemigos se hallaban en el pueblo de Alahuixtlan, objeto de mi marcha para la combinación que vmd. tenia con el teniente coronel D. Manuel Gómez. El 17 á las seis de la mañana me dirigí, según lo prevenido, para el Alahuixtlan, dividiendo mi tuerza en dos trozos, el uno á mi inmediato mando, y el otro al del teniente D. Josef María Ya ñez, tomando los caminos de ¿s. Simón y Sta. María, por si el enemi…</t>
  </si>
  <si>
    <t>…alemanes asciende á 8 millones y medio» y los italianos pasan de cinco millones. ^ &gt; ESPAÑA. México ay de Octubre. , Continuación de los partes de Nueva-España. Parte del teniente coronel D. Manuel Gómez. ‘ ■ &gt; • : ! . ■ : ‘ .... - „Excmo. Sr.: Como anuncié á V. E. en oficio de 14 6 15 del corriente; marché á la combinación proyectada sobre el punto de Alahuixtlan fortifica do por los rebeldes. Lo estaba en efecto; y al separarme de mi tropa para reconocer la…</t>
  </si>
  <si>
    <t>…ón ana acción, qae merece en mi concep to un buen lugar entre las brillantes sostenidas en es.ta América. ¡.jSalí de Zacoálpan el dia 16 del presente bajo las órdenes del teniente coronel D. Manuel Gómez , cuyo gefe tenia el designio de atacar aquel pue blo, pues sabia había en r81 reuniones enemigas de consideración: este valien te oficial, después de dobladas marchas, se presentó al frente del enemigo con el honor y serenidad que le son.características; y h…</t>
  </si>
  <si>
    <t>…ando coma debía. „De los movimientos de ía infantería que aí mando del teniente de dra gones fieles del Potosí D. Ignacio Bravo fue despachada como llevo expresa do á V. E^ por su capitán D. Manuel Gómez, se impondrá por el adjuntó parte j que original incluyo , como igualmente lo egecuto con el que rae ha da do el capitán de dragones del Sur D. Bernabé Villanueva, quien por orden, del teniente coronel graduado del mismo cuerpo D. Juan Isidro Marrón, y por co…</t>
  </si>
  <si>
    <t>…o elevase! ai su perior conocimiento de V. E. el mérito que han adquirido estas valientes tro-•. pas, que á egemplo de su benemérito y‘esforzado comandante el teniente co-*i ronel D. Manuel Gómez, y viendo derramada la sangre de este por los re-; beldes, despreciando todo riesgo por medio del vivo fuego que en el cemen terio y fortín del cerro hacían los enemigos, se echaron sobre los parapetos* de estos tomándoles los puntos; y en particular recomien…</t>
  </si>
  <si>
    <t>…do,;y éíotro al,det teniente D. Jtfsef María-Yaríez, tar mando los caminos de S. Simón y Sta. María por si el enemigo quisiese etnprender una fuga vergonzosa antes que el teniente coronel D. Manuel Gómez los escarmentase. Mas en vista de que no oía rumores ni tiroteos, m^.iDui aproximandóá» las Tortisficacipnes enemigas: y puntos que me destinó,el tenieute coronel D. Juan. Isidro Marrón á tiro de cañón » los que cudria mientras podía descubrir las, tropas que…</t>
  </si>
  <si>
    <t>Gómez, Pedro</t>
  </si>
  <si>
    <t>Pedro Gómez</t>
  </si>
  <si>
    <t>…o ( por el Excmo. Sr. duque de Medinaceli y Santisttbán) el Excmo. Sr. marques de Castromonte duque de Montemar. Él Rey nuestro Señor en consideración á los méritos y servicios de Don Pedro Gómez de la Cortina, dignidad de chantre de la iglesia metropolitana de México, se ha dignado concederle plaza supernumeraria en el Consejo de las Ordenes, con retención de la expresada dignidad. Habiéndose dignado admitir el Rey nuestro Señor el donativo de 2800 T…</t>
  </si>
  <si>
    <t>Gómez.rcapitán, D- Manuel</t>
  </si>
  <si>
    <t>D- Manuel Gómez.rcapitán</t>
  </si>
  <si>
    <t>…tengo el honor de ipandar ^dieron á los rebeldes que se hallaban en el pueblo de Alahuixtlan. „ El dia 16 salió de este real la sección del distrito con su digno gefe el teniente coronel D- Manuel Gómez.rcapitán de dragones fieles del Potosí, y el 17 como á las cuatro de la tarde llegamos al ría de dicho pueblo, que se halla á la entrada de él, en cuya iglesia y cementerio se hallaban perfecta mente fortificados los rebeldes en número como de 200 hombres, y con un re…</t>
  </si>
  <si>
    <t>Gomis, Vicente</t>
  </si>
  <si>
    <t>Vicente Gomis</t>
  </si>
  <si>
    <t>…orario P. Lorenzo de S. Blas, vice-rector del colegio de las Es cuelas Pías , dijo una canción en alabanza de las tareas en que se emplea la sociedad. Ultimamente el niño premiado D. Vicente Gomis recitó unos en decasílabos, dando gracias á nombre de sus compañeros, y lo mismo prac ticó diciendo otros por las niñas Doña María de. la Concepción Elío. Para costear estos premios contribuyeron generosamente, el Excmo. Sr. arzobis po director con 3® rs. vn.…</t>
  </si>
  <si>
    <t>Gon, Josef</t>
  </si>
  <si>
    <t>Josef Gon</t>
  </si>
  <si>
    <t>…e de D. Josef Olivas y Denia, á D. Fernando Josef de Toledo y el Corral; y para la plaza de alcalde del crimen de la chancillería de Valladolid , que resulta vacante por muerte de D. Josef Gon zález Villar , á D. Pascual Alpuente. Asimismo se ha servido S. M. conceder honores de oidor de la misma chancillería á D. Angel Fernandez de los Ríos, teniente corregidor mas moderno de esta muy heroica villa-----Para el cor regimiento de las cuatro villas d…</t>
  </si>
  <si>
    <t>Gon, Josef Alvar</t>
  </si>
  <si>
    <t>Josef Alvar Gon</t>
  </si>
  <si>
    <t>…el la Católica á que le considero muy acreedor; dignándose también mandar expedir sus Reales despachos de los grados inmediatos que les he concedido interinamente en esta fecha al capitán D. Josef Alvar Gon zález y teniente D. Ramón de Polledo, del regimiento de Asturias; á los te nientes del de Castilla D Antonio Casariego y D. Domingo López, y al subteniente del mismo D. Juan Sánchez; al de igual clase del Real cuerpo de artillería D. Josef Obeira , y al sarge…</t>
  </si>
  <si>
    <t>Gondra, Ciríaco</t>
  </si>
  <si>
    <t>Ciríaco Gondra</t>
  </si>
  <si>
    <t>…rmutar bien sea una casa en la corte o ha ciendas en las provincias de Madrid, Toledo y Guadajajara por una casa grande en Zaragoza, y eu buen sitio, acuda en esta última ciudad á Don Ciríaco Gondra , oficial de la contaduría/de egército; y en Madrid á Agus tín de la Torre, que vive en lá puerta del Sol, núm. 4, quarto 3.0, quienes darán las noticias necesarias» Habiéndose reimpreso por orden dé la Real junta superior gubernativa de farmacia la Farmacope…</t>
  </si>
  <si>
    <t>Góngora, Luis de</t>
  </si>
  <si>
    <t>Luis de Góngora</t>
  </si>
  <si>
    <t>…. Alvaro de Bazan , Antonio de Nebrija, y Pedro Me»nendez de Aviles: 5.0 D. Juan de Austria, Fr. Luis de Granada, Martin de Azpilcueta, Pedro Chacón, D. Bernardino de Rebolledo, y D. Luis de Góngora. con tinuará. ) En el juzgado de la subdelegacion general de bienes Mostrencos, Vacantes y Abíntestatos se han seguido y penden autos sobre denuncia de los bienes del mayorazgo titulado de Legazjo , los cuales se han declarado vacantes y aplicado al Real fisc…</t>
  </si>
  <si>
    <t>Goñi, Francisco</t>
  </si>
  <si>
    <t>Francisco Goñi</t>
  </si>
  <si>
    <t>…omingo Ramírez. En la clase superior de latinidad obtuvo el premio primero D. Justo Pe rez; y el segundo D. Fermín Lasa, siendo meritorios D. Domingo Muguerza, D. Josef Id ion da, D. Francisco Goñi, D. Xavier Sanz López y Don Benito Munduate. Ultimamente en la clase de humanidades ó retorica logró el primer pre mio D. Marcos Velaz; y el segundo D. Romualdo Sasa, siendo merirorios D. Fausto Oráyen, D. Antonio Sanz López y D. Mariano Ciá. En el dia 14 se…</t>
  </si>
  <si>
    <t>Goñi, Juan Miguel de</t>
  </si>
  <si>
    <t>Juan Miguel de Goñi</t>
  </si>
  <si>
    <t>…e ayunta^ miento;, el cura párroco D. Juan Estéban Arraiz de Conderena, otros pár rocos de varios pueblos , y mas de 200 personas que acudieron al acto, pre sentados los niños por D. Juan Miguel de Goñi, y su hijo D. Josef Francis^ co, prrfesores de primera educación, á cuyo cargo estaba confiada su ense ñanza. En las tres horas que duraron por la mañana los egercicios se examicarón 40 niños en doctrina cristiana, lectura, escritura, aritmética, gra mática y…</t>
  </si>
  <si>
    <t>Gonzaga, María Luisa Carvajal</t>
  </si>
  <si>
    <t>María Luisa Carvajal Gonzaga</t>
  </si>
  <si>
    <t>…la gracia que solicitó ce lebrar O n me 1 cado Jos viernes de cada semana*. El 18 de Diciembre próximo pasado falleció en esta corte á los 53 años 10 meses de edad ia Excma. Sra. Doña María Luisa Carvajal Gonzaga y y</t>
  </si>
  <si>
    <t>González, Agustín</t>
  </si>
  <si>
    <t>Agustín González</t>
  </si>
  <si>
    <t>…comandante JD. Ramón Reguera, ,,En la madrugada del 17 del corriente robo una gavilla de rebeldes de Ja hacienda de S. Cristóbal una punta de ganado. En el momento que lo supo el teniente D. Agustín González, comandante del destacamento de la Trinidad, salió en su busca; y aunque hizo una marcha de mas de seis leguas en diferen tes direcciones, no pudo por la oscuridad de la noche y la mucha neblina descubrir á los enemigos. . ,, Cerciorado yo de que se habían di…</t>
  </si>
  <si>
    <t>González, Angel</t>
  </si>
  <si>
    <t>Angel González</t>
  </si>
  <si>
    <t>…n de Almazan y escribanía de! número de D. Vicente de la Costa los autos de dimisión de-bie nes de D. Manuel de la Lama, vecino del comercio que fue de esta corte, á instan cia de D. Angel González, como marido de Doña María de la Lama, se ha seña lado para celebrar junta el dia .30 del corriente mes, á las nueve en punto de su ma ñana, en las casas del mismo señor juez, con citación de los interesados. Hace como 50 años salió de la ciudad de León Manue…</t>
  </si>
  <si>
    <t>González, Anselmo</t>
  </si>
  <si>
    <t>Anselmo González</t>
  </si>
  <si>
    <t>…on atacarnos nuevamente, y dispuse rni tropa en el mejor orden, colocando en su centro las cargas, y mandando por 1 á derecha dds guerrillas de cazadores al cargo de los tenientes D. Anselmo González y del capitán graduado D. Rai mundo del Olmo, y por la izquierda al capitán D. Domingo Ugarte con 40 caballos , encargándole el mando de un cañón al tehiente D. Ignacio Nieto, .y el'Otro al subteniente D. Josef Manuel Montano; y marchando en buen ór*den hacia…</t>
  </si>
  <si>
    <t>González, Cipriano Lope</t>
  </si>
  <si>
    <t>Cipriano Lope González</t>
  </si>
  <si>
    <t>…, contados desde su pu blicación, que se admitirán las que se hicieren siendo arregladas. Gramática de la lengua latina, simplificada y reducida á nuevo método en tres libros, por D. Cipriano Lope González, impresa en 1788. Véndese á 3 rs. en papel en el almacén de la imprenta Real. . Selectae é veten testamento historiae, ad usum eorum qui regio in archigimnasio D. Isidori Matrit. latinae línguae rudimentis imbuuntur. Accedit sinopsis vitae Jesu Christi, beata…</t>
  </si>
  <si>
    <t>González, Francisco</t>
  </si>
  <si>
    <t>Francisco González</t>
  </si>
  <si>
    <t>…enidad y prontitud con que contuvieron y ordenaron la ca ballería cuando fue rechazada. El capitán de Navarra graduado de teniente coronel D. Salvador de Medina, y el de la Corona D. Francisco González, se distinguieron en sumo grado, como igualmente los de caballería del Rey D. Francisco Nuñez, D. Sebastian Barrondo, D. Josef Antonio Martínez,' D. Félix Solórzano y D. Felipe Ramos, que fueron incansables en matar ene migos , como el teniente D. Benito Fran…</t>
  </si>
  <si>
    <t>…as las demas obras del autor; y también se vende en Valencia, en casa de Cabrerizo, y en Tortosa en casa de Oli vares. Memorias sobre la cria y enfermedades del ganado vacuno, por D. Francisco González, antiguo profesor de patología de la Real escuela de veterinaria de esta •corte. En esta obra su autorya conocido por otros escritos públicos, expone con la mayor exactitud y claridad cuanto puede contribuir á perfeccionar la cria del ganado ■« yacuno,, y á .…</t>
  </si>
  <si>
    <t>González, Francisco Antonio</t>
  </si>
  <si>
    <t>Francisco Antonio González</t>
  </si>
  <si>
    <t>…van las ediciones mas raras y selectas y las dél pri mer siglo de la imprenta, y ocupando las sillas que bajo de un dosel les es taban preparadas, el bibliotecario mayor honorario D. Francisco Antonio González expresó en un breve discurso la satisfacción y gratitud de este Real</t>
  </si>
  <si>
    <t>González, Genaro</t>
  </si>
  <si>
    <t>Genaro González</t>
  </si>
  <si>
    <t>…es D. Félix de Federico, D. Casimiro Herrezuelo, D. Ma riano 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premios expresados, y teniendo en consideración la na turaleza de los objetos que á cada cual…</t>
  </si>
  <si>
    <t>González, Josef Mouriz</t>
  </si>
  <si>
    <t>Josef Mouriz González</t>
  </si>
  <si>
    <t>…z de Apodaca.” Madrid 7 de Diciembre. ARTICULO DE OFICIO. , Por Real resolución de 19 del presente mes,á consulta del Consejo supre mo de la Guerra, se ha servido S. M. conceder á D. Josef Mouriz González, practicante segundo de cirugía que fue en la última campaña, y actualmente cirujano y vecino de la ciudad de Lugo, el fuero militar y usó de uniforme de la clase en que sirvió, que le corresponde como comprendido en la circular de 19 de Junio de 1815, declar…</t>
  </si>
  <si>
    <t>González, Juan</t>
  </si>
  <si>
    <t>Juan González</t>
  </si>
  <si>
    <t>…las posiciones; hasta que fue auxiliado, y ha salido gravemente herido; á los tenientes Don Ramón Momos y, D. Juan Cabrera: á los subtenientes D. Luis Díeguez, que salió Jierido, D. Juan González y D. Alejandro García: á los sargentos pri meros de Castilla Francisco Saurco y Pedro González, y el segundo Fran cisco. Re umet :.á los cabos Bernardo.Perez,.Francisco Prieto, Braulio Latorte , Angel López y Francisco Pudíal: á los soldados Pedro González, Pedro Monteagudo, Josef…</t>
  </si>
  <si>
    <t>González, Juan Antonio Murnais y</t>
  </si>
  <si>
    <t>Juan Antonio Murnais y González</t>
  </si>
  <si>
    <t>…eneral de Rentas. El Exemo. Sr. D. Martin de Garay con fecha 13 del corriente nos dice de Real orden lo siguiente: ,,Habiendo dado cuenta al Rey nuestro Señor de una pretensión de Don Juan Antonio Murnais y González, administrador de Rentas estancadas de la Grana, partido del Ferrol, separándose del conducto correspondiente, por la que solicita la administración de Tabacos de Vimianzo, en el partido dé Santiago , con la cual considera recompensados en párte los perjuicio…</t>
  </si>
  <si>
    <t>González, Julián</t>
  </si>
  <si>
    <t>Julián González</t>
  </si>
  <si>
    <t>…l subteniente de cazado res D. Mariano Salas, que con 25 de estos lo verificase con todos los que en contrase en el camino, quedándome yo con el resto de los 60 y el. subtenien te D. Julián González. En efecto rompimos la marcha, y á poco anear,en paragedlamado.de. las -Tortugas,. nos encontramos con los enemigos, en,cj;eci-</t>
  </si>
  <si>
    <t>González, Manuel</t>
  </si>
  <si>
    <t>Manuel González</t>
  </si>
  <si>
    <t>•Menocal, teniente D. Mantiél Ortfzyy los graduados D. Pedro María, Ana ya, D. Luis Carrera, D. Ignacio Romero Pando y *D. Manuel González , al féreces D. Melchor Armenteros, D. Apolinario Rodea y D. Miguel Rodrí guez. Dragones de S. Luis: teniente coronel graduado D. Anastasio Bustamante, capitán graduado D. Felipe Mendez, teniente D. Manuel Muñoz, al féreces D. Pedro de Legarreta y D. Felician…</t>
  </si>
  <si>
    <t>…tiene médico, y se ie concederá facultad al que venga que vi site á quien le llame de estos, siempre que no tenga enfermo de cuidado. Los pre tendientes dirigirán sus memoriales á D. Manuel González, escribano del ayunta miento de dicha villa, hasta el día ultimo del presente mes de Setiembre. . Extracto de la Novísima Recopilación de leyes de España, formado para facili tar el estudio á los cursantes dé las universidades, y su general instrucción á toda…</t>
  </si>
  <si>
    <t>González, María</t>
  </si>
  <si>
    <t>María González</t>
  </si>
  <si>
    <t>…para 18 premios en lasclases de-costuras ¿ calados/ bordados y demas que «e enseñan en dicha pcueia, Para censurar los trabajos de 15 niñas, las 12 de ellas- pobres, que presen tó Doña María González, maestra dé la escuela situada en la ciudad, y de 4b"^ué contiene la escuela dé Doña Baltasara deDiosdado, situada ew‘elar ra bal, élifció (a sociedad en junta presidida del mismo socio director*á .las seño» rás* Doña Lorenza Ortiz de Paz * Doña Ana Menocal i…</t>
  </si>
  <si>
    <t>González, Pedro</t>
  </si>
  <si>
    <t>Pedro González</t>
  </si>
  <si>
    <t>…ntroducción dé la maquinaria no soló fia sido y es útil á los pro ductores, sino también á los operarios y consumidores* ó lo que es lo mis ino á tbdas las Clases de la sociedad.” D. Pedro González : y, La alteración del4 valor en las monedas causa siempre üriós éfécíos los mas fúñestós* á la riqueza de la nación.” D- Ramón María Cuero: ,,El crédito público és dañoso al Estado que abuse de él.” El honesto desembarazo con que se presentaron los nueve jov…</t>
  </si>
  <si>
    <t>González, Ramón</t>
  </si>
  <si>
    <t>Ramón González</t>
  </si>
  <si>
    <t>…n Josef Campillo y D. Josef Alejandro: los capitanes graduados de tenientes coroneles D. Ra món de Amagada y D. Bartolomé Henriquez: los subtenientes D. Nicolás O ^res y Palafox y D. Ramón González: los subtenientes del Real cuerpo de artillería D. Josef Mogro y D. Santos Caravantes : el coronel de milicias Don Francisco González Palma: el capitán del Real cuerpo de ingenieros Don Francisco Alvarez: los capitanes D. Camilo Acuña, D. Manuel Unzueta y D.…</t>
  </si>
  <si>
    <t>González, Regino Landaeta y Gil</t>
  </si>
  <si>
    <t>Regino Landaeta y Gil González</t>
  </si>
  <si>
    <t>…De nuestra parte no hubo mas pérdida que ia muerte deí bizarro y valiente coronel J&gt;. Rafael López con siete soldados mas, y heridos de gravedad los capitanes de lanceros del Rey Don Regino Landaeta y Gil González; los.alféreces Gregorio Rivas y.VÍcenteBermudez, y el teniente de dragones.de la Union D. Benito Franco, con 21 soldado*; mas. Todos los gefes y oficiales se han portado con la mayor bizar ría, siendo .cada ,uno un héroe ; pero en particular debo recomendar á…</t>
  </si>
  <si>
    <t>González, Teresa</t>
  </si>
  <si>
    <t>Teresa González</t>
  </si>
  <si>
    <t>…s, D. Josef Valero Espinosa , natural de Moneada, en el reino de Valencia, D. Antonio Carrasco, de Gén.ova, D. Rafael Correa, Joa quín Rodríguez, de Asturias, Doña Rosa Velazquez, Doña Teresa González, de Valladolidi Antonia Carreras, de Valdemoro, y D. Francisco Vigil, del reino de Francia, y sus sucesores, como legatarios de los Éxcmos. Sres. D. Francisco de Pau la y la Cerda, y Doña María Vicenta de Osorio y Moscoso, su muger, condes que fueron de Aguií…</t>
  </si>
  <si>
    <t>González, Vicente</t>
  </si>
  <si>
    <t>Vicente González</t>
  </si>
  <si>
    <t>…e ingenieros Don Francisco Alvarez: los capitanes D. Camilo Acuña, D. Manuel Unzueta y D. F rancisco Despot: el ayudante D. Aniceto Valverdet los tenientes Don Juan Ruiz Ordoñez., D. Vicente González y D. Antonio Henriquez: los sub tenientes D. Diego Duran, D. Vicente Benavides y D. Tomas Calvo: el ca pitán D. Manuel Pinuer; y el subteniente D. Josef Ugarte. ,,Ultimamente concluyo con demostrar el mayor -sentimiento por la muerte del esforzado subteniente de infantería de Conce…</t>
  </si>
  <si>
    <t>González, Wenceslao Simón</t>
  </si>
  <si>
    <t>Wenceslao Simón González</t>
  </si>
  <si>
    <t>…la sala de ayuntamien to, que estuvo abierta para el público, con asistencia de los individuos, del cura párroco y fiel de fechos. En el sorteo cupo la suerte : iJ* al distinguido D. Wenceslao Simón González, natural de Grche;. 2.0 á Francisco García; 3.0 Manuel Pecho, ambos de Aranda de Duero;; 4.0 Manuel Sánchez, de Si gue nza; 5.0 Juan Antonio de la Fuente, de Fuentecen; 6.,r Josef Moreno, de Angón; 7.° Román Martínez, de Montanon , y 8.® Cesáreo López, de Alc…</t>
  </si>
  <si>
    <t>Gonzalo, Miguel</t>
  </si>
  <si>
    <t>Miguel Gonzalo</t>
  </si>
  <si>
    <t>…Almazan y Xinaeno , del Consejo de S. M., teniente primero de corregidor de esta muy heroica villa, por el prjsseñte^ hago saber : que por mi juz gado , y escribanía del número de D. Miguel Gonzalo, penden autos de concurso de Eugenio Pingarron, vecino que fue del lugar de Carabanchél de abajo; y á ins tancia de la parte del R. P, prior y comunidad del .Real motxas^eriip de S. Geróni mo de esta corte, y de los patronos de las memo rías que en lá iglesia…</t>
  </si>
  <si>
    <t>…idad de 44624 rs. vn., acuda por la audiencia del Sr. D. Joaquín de Almazan, del Consejo de S. M., primer teniente corregidor de esta muy heroica villa, y escribanía del número de D. Miguel Gonzalo, donde se admitirán las que se hicieren siendo arregladas. En la quema de cartas egecutada en la administración principal de Correos de Badajoz en el presente año se ha encontrado un vale Real de 300 pesos de i.° de Setiembre de 1809, perteneciente á D. Josef…</t>
  </si>
  <si>
    <t>…al. D. Joaquín de Almazan y Ximeno, del Consejo de S. M., teniente corregidor de esta muy heroica villa, por el presente hago saber: que por mi juzgado y escri banía del número de D. Miguel Gonzalo se halla radicada la testamentaría que se formó con motivo del fallecimiento de D. Fernando de Herrera Carreto.y se prac ticó la correspondiente liquidación, cuenta y partición del caudal que dejó en 23 de Octubre del año pasado de 1763 entre sus cuatro hijos…</t>
  </si>
  <si>
    <t>…4624 rs. yn. La ,persona que quiera hacer,cer posturapostura áá ellaella acudaacuda dentrodentro delatadodel eitado términotérmino porpor lala escribaníaescribanía &lt;del nú mero de D. Miguel Gonzalo; en inteligencia que para, el remate de ella se há señalado él dia 21 del corriente, á las 12 de su mañana , en la audiencia del insinuado señor jxiez. -- Habiéndose verificado el segundo remate de las fincas, sitas en la inmediación de Salamanca, que se vend…</t>
  </si>
  <si>
    <t>…Lás personas que quieran hacer mejora acudan ante el Sr. D. Manuel Josef Rubiodel Consejo deS. M. ^teniente corregidor de esta muy heroica villa, y por la escribanía del número de D. Miguel Gonzalo, donde se admitirán las que se hagan siempre que sean arregladas, previa la conformidad de dichos interesados en el acto del remate; en inteligencia que para este se ha señalado el dia 19 del cor riente á las 12 de su mañana en la audiencia del citado señor j…</t>
  </si>
  <si>
    <t>…da en la cantidad de 44614 rs. vn. La persona que quiera ha cer postura á dicha casa acuda dentro del citado término ante el referido señor juez, y por la escribanía del número de D. Miguel Gonzalo, donde se admitirán las que se hagan siendo arregladas; en inteligencia que para el remate de ella se ha señalado el dia 7 de Diciembre próximo, á las 12 de su mañana, en la audiencia del insinua do señor juez. A virtud de providencia de 21 dei corriente del…</t>
  </si>
  <si>
    <t>Gonzalo-, Miguel</t>
  </si>
  <si>
    <t>Miguel Gonzalo-</t>
  </si>
  <si>
    <t>…n inteligencia dé que los que hubiesen sucedido en los derechos de los acreedores que hayan fallecido se acreditará con los competentes do cumentos por lá escribanía dél número de D. Miguel Gonzalo-, con apercibimiento qué al qué no lo haga ni cómparezca le parará el perjuicio qué haya lugar. \ D. Josef Julián de Donesteve, vecino dé la villa de Marqtiina, en el señorío de Vizcaya, falleció el día 23 de Agosto de este presente año, y ha dejado un legado…</t>
  </si>
  <si>
    <t>Gorda, Antonio Torre</t>
  </si>
  <si>
    <t>Antonio Torre Gorda</t>
  </si>
  <si>
    <t>PDF p. 13</t>
  </si>
  <si>
    <t>…. Puntos de ocupac ión militar qué abraza, y fuerza que debe cubrirle. El Corh l: 1 subalterno , T sargento, 3 cabos y 16 soldadol de infantería del^Segtíndo^^báfallonTdel Infante D. Antonio Torre Gorda: 1 subalterno* 1 sargento y 3 cabos y r 6. soldados. Las Canteras: 1 subalterno, 1 sargento, 3 cabos y íé soldados. Puente de la Reina Isabel: i subalterno, 3 sargentos, 3 cabos y 2o soldados; Punta de la barra del Puerto de Santa Mana por levante: subáltéfíl…</t>
  </si>
  <si>
    <t>Gorozabel, Josef Villar</t>
  </si>
  <si>
    <t>Josef Villar Gorozabel</t>
  </si>
  <si>
    <t>…de caballería de España: en la de Segovja, por muefte dé D. Juan de Benito, á Di Juan Antonio Jordán, capellán del regimien to de caballería de Borbon: eñ la de Lérida, por la dé D. Josef Villar Gorozabel, á D. Lorenzo -Leris, capellán que fue del primer escuadrón de arti llería volante; y en la de Tarazona, por fallecimiento de D. Manuel Alcalá, á D, Diego Molina, capellán del segundo regimiento de Artillería.</t>
  </si>
  <si>
    <t>Gorraiz, Josef</t>
  </si>
  <si>
    <t>Josef Gorraiz</t>
  </si>
  <si>
    <t>…antes, fue preciso sortear los dos premios,, y tocó el primero á Ramón Ma ría Aldasoro, y el segundo á Josef Martínez. En la clase de rudimentos de latinidad gano el primer premio D. Josef Gorraiz, y el segundo D. Angel Isturiz; habiendo sido meritorios D. Josef Nuin, D. Manuel Arbide, D. Félix Ii*iarte y D. Cesáreo Sanz López. En la clase de sintaxis se adjudico el primer premio á D Eugenio Subi za; y el segundo áD. Antonio Iribertegui, siendo meritor…</t>
  </si>
  <si>
    <t>Gorro, Josef</t>
  </si>
  <si>
    <t>Josef Gorro</t>
  </si>
  <si>
    <t>contusos son el teniente D. Josef Gorro, y los subtenientes D. Antonio Sola* no y D. Josef Colmenero: los oficiales muertos del regimiento húsares de Fernando vn son el capitán D. Manuel Santander, el teniente D. Alfonso Huesca y el alférez D. Genaro Pañego. Fue muerto ademas el coronel co mandante…</t>
  </si>
  <si>
    <t>Gourdon</t>
  </si>
  <si>
    <t>…la ciudad j en se guida visitó el puerto y los establecimientos públicos, dando en todas partes muestras de su talento observador, y hablando correctamente el idioma fran cés. El conde Gourdon obsequió á S. A. R. con un esplendido banquete, concluido el cual fue el Príncipe al teatro, acompañado del referido coman dante, del corregidor y de otros sugetos distinguidos de la ciudad. * ESPAÑA. Oropesa go de Julio. Don Jbsef Vilella y Pastor, alcalde m…</t>
  </si>
  <si>
    <t>Goya, Francisco</t>
  </si>
  <si>
    <t>Francisco Goya</t>
  </si>
  <si>
    <t>…ación de las estampas que se hallan venales en la calcograjia de la imprenta Real. En pliego de marca mayor. Un cuaderno de los caballos de Velazquez, gra bados al agua fuerte por D. Francisco Goya, á 42 rs. = Doce vistas, del Real mo nasterio de S. Lorenzo del Escorial , cada una á 1 o. c=c Dos vistas del prado de Ma drid, á 30.~ Vista del puerto de Cádiz, tres de su carraca, una dé Sevilla y otra de Luarca, cada una á 6. zzSeis estampas de ia artiller…</t>
  </si>
  <si>
    <t>Goya, Juan de</t>
  </si>
  <si>
    <t>Juan de Goya</t>
  </si>
  <si>
    <t>…de S. Al., teniente corregidor de esta muy heroica villa, se cita y emplaza á D. Agustín de Trápaga, D. bebastian Cardiel, Doña María Sexmilo» D. Miguel Sanz, D. Estéban delHoyo, D. Juan de Goya, y á los interesados en la testamentaría de D. Josef Antón; y por fallecimiento de ellos á sus herederos sucesores en sus derechos, como acreedores de la testamentaría de D. Manuel de Ezquerra y Trápaga, vecino y del comercio de Madrid; y también á los otros…</t>
  </si>
  <si>
    <t>Goyeneche, Josef Sebastian de</t>
  </si>
  <si>
    <t>Josef Sebastian de Goyeneche</t>
  </si>
  <si>
    <t>…esta dignidad á D. Nicasio Labarta, capellán mayor de las carmelitas des-calzas de México : para una canongía de la iglesia catedral de Arequipa , va cante por. promoción del Dr. D. Josef Sebastian de Goyeneche al obispado He la misma catedral, á D. Juan de Dios Bu Ines ; para la dignidad de chan tre de la iglesia catedral de la Paz á D. Josef Benito Romero Soriauo , ca* nónigo de la misma ; y para la resulta que quedó vagante á D. Luis Rodrí guez de Lema: para la p…</t>
  </si>
  <si>
    <t>Grana, Rafael</t>
  </si>
  <si>
    <t>Rafael Grana</t>
  </si>
  <si>
    <t>…uis García, D. Juan Pablo Pavón, D. Francisco Javier Morales, D. Josef García, D. Miguel Granados, D. Josef Quintanilla, Don Juan Antunez, D- Juan Bellido, D. Manuel de la Serna , D. Rafael Grana dos, príncipe de la doctrina cristiana, y D. Martin Saenz, de Lebrija: Don Fraiieised1 González y D. Josef Martínez , de Sanlucar de Barrameda : D'. Josef Moreno, D. Manuel Felipe Caballero, D* Gaspar Angulo, D. Josef Gó mez Hormigo y D. Francisco Rodríguez,…</t>
  </si>
  <si>
    <t>Granados, Miguel</t>
  </si>
  <si>
    <t>Miguel Granados</t>
  </si>
  <si>
    <t>…atori, íriarte, Huerta, Florez y Samaniego,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 Martin Saenz, de Lebrija: Don Fraiieised1 González y D. Josef Martínez , de Sanlucar de Barrameda : D'. Josef Moreno…</t>
  </si>
  <si>
    <t>Greges, Josef María</t>
  </si>
  <si>
    <t>Josef María Greges</t>
  </si>
  <si>
    <t>8S'f caballería D. Josef María Greges ha dirigido este léal vecindario, con el que ha estado siempre hostilizando á los rebeldes, y acaba de aprehender una partida de ellos de 13 hombres con el teniente coronel Manuel-Mato y otros tres ofi ciales blancos, llamados Pedro Mugiiersa, natural de la V…</t>
  </si>
  <si>
    <t>Gregorio</t>
  </si>
  <si>
    <t>…i8.=Excmo. Sr.= Ciríaco de Llano. = Excmo.; Sr. virey D. Juan Ruiz de Apodacaf* Partes del teniente coronel D. Ignacio Amor. 1° ,,A las. dos de la tarde de hoy regresó el teniente coronel D. Gregorio .Carrizo del Puente del Rey , adonde había marchado ayer , trayendo las mu niciones de boca y guerra que iba á buscar , sin haber tenido novedad en su tránsitQ. Después que llegó salió el de la. misma clase D. Manuel Rincón por el rumbo de S. Cárlos para cont…</t>
  </si>
  <si>
    <t>Gregorio, Manuel Benigno de</t>
  </si>
  <si>
    <t>Manuel Benigno de Gregorio</t>
  </si>
  <si>
    <t>…les,á la justicia de dicho (pueblo en el preciso tiempo de 20 dias, contados desde i.0 deí corriente. Quien supiere el paradero de Doña María Antonia de Gregorio y de sil herma no D. Manuel Benigno de Gregorio, se servirá avisarlo,á Q. Marceliano Altavas, re sidente en esta corte; calle de la Amargura, cuárto 2.0; pues tiene que comunicarles un asunto que les interesa. Minerva ó el Revisor general, tomo 11 de la parte de Miscelánea crítica, que comprende los dos tr…</t>
  </si>
  <si>
    <t>Gregorio, María Antonia de</t>
  </si>
  <si>
    <t>María Antonia de Gregorio</t>
  </si>
  <si>
    <t>…verano. Los preten dientes dirigirán sus memoriales,á la justicia de dicho (pueblo en el preciso tiempo de 20 dias, contados desde i.0 deí corriente. Quien supiere el paradero de Doña María Antonia de Gregorio y de sil herma no D. Manuel Benigno de Gregorio, se servirá avisarlo,á Q. Marceliano Altavas, re sidente en esta corte; calle de la Amargura, cuárto 2.0; pues tiene que comunicarles un asunto que les interesa. Minerva ó el Revisor general, tomo 11 de la parte…</t>
  </si>
  <si>
    <t>Grenville</t>
  </si>
  <si>
    <t>…garíaPi solio los gastos de su yiage. En virtud de esto el Dr. Sickler manifestó su método á la cQrnision que se nombró para este examen, y que se componía del conde dé Abérdutn , lord Grenville, lord Colchester, sir Josef Banks, -sir Tomas Tyrwhit, sir Humphry Duy, del difunto Dr. Burney y de Mr. JíamiJton, yiqe-sec reta rio de Estado de Negocios extrangeros. Esta comisión, después de varios exámenes sobre el proceder y resultados del nuevo mé todo…</t>
  </si>
  <si>
    <t>Griíer</t>
  </si>
  <si>
    <t>…pueden contribuir los Monarcas á la per fección de las ciencias con solo dispensarles una corta protección , es nuestra academia Médico-quirúrgica, que está bajo la dirección del profesor Griíer, pues en solo dos años que cuenta de fundación se halla ya al nivel de las mas antiguas y célebres de Europa. Ahora que nuestra Dieta se emplea con tanto tesón y diligencia en el bien general, todos están persuadidos de que no dejará de señalar^fondqs compe t…</t>
  </si>
  <si>
    <t>Grosvenor</t>
  </si>
  <si>
    <t>323</t>
  </si>
  <si>
    <t>…a del Rey Carlos Juan. Mr. Engstrom, encargado de Negocios de Suecia, ha hecho prestar jura mento de fidelidad al nuevo Rey á todos los suecos y noruegos residentes en Londres. El conde Grosvenor ha indicado que haría una propuesta ¿n la cámara de los Pares, dirigida á que se disminuya el egército. En la cámara de los Comunes ha presentado Mr. Lockars una petición firmada por 14© personas, quejándose del subido precio y de la mala cali dad de la cerve…</t>
  </si>
  <si>
    <t>…dido que sus causas se exa minen en justicia. Se espera que con este motivo se publiquen varios escritos. GRAN BRETAÑA. Londres u de Marzo. Ayer en la Cámara de los Pares habló el conde Grosvenor contra el ex cesivo número de tropas que se trata de tener sobre las armas, y propuso que de los 113640 hombres de que constaba el egército, se redujese á 100®. Lord Bathurst hizo ver que atendida la distribución de las tropas, y el gran número de fortalezas…</t>
  </si>
  <si>
    <t>Grullos, Francisco Suarez de</t>
  </si>
  <si>
    <t>Francisco Suarez de Grullos</t>
  </si>
  <si>
    <t>…bas de sain, que analizado se halló ser de superior calidad al de ballena. Maza y barra de hierro á D. Francisco Amor y Lastra, vecino de Serantes, á D. Jóscf Alvarez de Murías, á,D. Francisco Suarez de Grullos, á Tomas García de Baiña, á Vicente Suarez de Bello, á D. Ignacio García Tuñon de Salas j á D. Juan Cosme Cotariella, cura de Narzaná, y á D; -Francisco Valdés de Entralgo, porque todos acreditaron haber fabricado muchas mas brazas de pared de pie dra de las…</t>
  </si>
  <si>
    <t>Guadalupe</t>
  </si>
  <si>
    <t>…7 de Julio próximo pasado he recibido el despacho del grado de coronel de egército qoe V. E. se dignó expedirme, asi como los de capitanes á los tenientes D; Francisco dé la Hoz y D. Guadalupe de los Santos,.los mismos que quedan entregados á los interesados, quienes conmigo tributan áV. E. las mas expresivas gracias por la generosidad, con que ha premiado^ corto mérito que contrajimos en* la destrucción del faccioso coronel Perri y su gavilla., qu…</t>
  </si>
  <si>
    <t>Guaita, Braulio</t>
  </si>
  <si>
    <t>Braulio Guaita</t>
  </si>
  <si>
    <t>…erpo, se portó con la mayor bizarría; y aunque fue herido de gravedad al principio de la acción , continuó en ella todo el dia. ,9 Otro capitán indio de dicho batallón de Clarines D. Braulio Guaita, viendo que algunos rebeldes se llevaban un capitán suyo herido los atacó personalmente, y dando muerte á los que le conducían le trajo prisionero. ,,Dios guarde á V. E. muchos años. Cuartel general de Cumaná 28 de Agosto de 1817. = Excmo. Sr. = Pablo Morillo…</t>
  </si>
  <si>
    <t>…o Vázquez, el cabo primero Diego Mesa, y los granaderos Josef Lugo y Silvestre Pbnce t del de Clarines el capitán gra duado de teniente coronel D. Josef Chauran, el de igual clase D. Braulio Guaita, el subteniente D. Josef Castalia , el sargento segundo Vicente Galban y el cabo primero Josef Vázquez; y de las compañías de Carupano el subteniente D. Jacinto Valdivielso y el sargento primero Andrés Castillo. j»Lo que comunico á V. E. para su conocimiento.…</t>
  </si>
  <si>
    <t>Guardiola, Mariano</t>
  </si>
  <si>
    <t>Mariano Guardiola</t>
  </si>
  <si>
    <t>…, D. Manuel Arre ta y D. Mauro Camocho. Dragones deS. Carlos: capitán D. Domingo ligar te y portas D. Josef Ignacio Ximenez y D. Pedro Alarcon. Fieles del Potosí: capitán graduado D. Mariano Guardiola. Realistas de Apan: capitán D. Joa quín Espinosa y D. Antonio Ortiz, teniente D. Josef Ponce y alférez Don Rafael Salinas. „ También recomiendo á V. S. muy particularmente á mis ayudantes capitán graduado D. Manuel Fernandez Peredo y teniente D. Francisco San…</t>
  </si>
  <si>
    <t>Guayta, Agustín</t>
  </si>
  <si>
    <t>Agustín Guayta</t>
  </si>
  <si>
    <t>…des sobre 600 hombres; y nuestra pérdida no hubiera sido dé consideración si entre los qúe murieron peleando gloriosamente no hubiésemos perdido los valientes capi tanes graduados D. Agustín Guayta y D. Manuel de la Vega , ambos del re-*gimiento infantería de la Union, jóvenes que se habian señalado en las accio nes anteriores y en toda la campaña por su extraordinaria bizarría. Tambieti fue herido de gravedad el teniente coronel D. Juan Falomir, capitán de lá comp…</t>
  </si>
  <si>
    <t>Gub, Francisco de</t>
  </si>
  <si>
    <t>Francisco de Gub</t>
  </si>
  <si>
    <t>…é igualmente á su ayudante el subteniente D. Josef Tamon. &lt;•’ . ,; Dios guárde á^VvS; muchos años:San Lbis de la Paz Junio-4 de xSiS.= -Jóséf Cristóbal Villaseúor. = Sr. coronel'y comandante D. Francisco de Gub*zárnótegui.,? ; ‘ 1 1 • •/ . - - ; '• :.u:: ' 'Parte del teniente coronel iD. Manuel Velazquez. ' ,, Con arreglo á la orden de vmd. salí de este punto el 31 del propino -pasado Mayo con 50 infantes de Zaragoza, 25 dragones de España, igual número de Queretaro…</t>
  </si>
  <si>
    <t>Gudenaut</t>
  </si>
  <si>
    <t>…general de Kannóver, y su antiguo com pañero de armas en la primera campaña de los Países-Bajos, la hermosa edi ción dé su obra militar sobre las campañas del Rhin y de Suabia. El barón Gudenaut, hermano de uno de los ayudantes de campo del Archiduque, presentó la obra, y fue recibido con particular satisfacción por S. A. R., quien apreció en gran manera este testimonio de amistad del Archiduque. Hamburgo 20 de Diciembre. En uno de nuestros periódico…</t>
  </si>
  <si>
    <t>Gueman, Diego Mesía y</t>
  </si>
  <si>
    <t>Diego Mesía y Gueman</t>
  </si>
  <si>
    <t>…Osorio*. 7.0 D. Luís de Requesens, D. Bartolomé Leonardo de Argensola, D. Francisco Valles, D. Juan de Ribera, D. Juan de Palafox y Mendoza, y el Mtro. Fr. Luis Ponce de León: B.° D. Diego Mesía y Gueman , el Mtro. Juan de Avila, el P. Fr. Josef de Sígiienza, D. Diego Covarrubias y Leiva, Juan lírbina, y el P. Q. Tomas Vicente Tosca. (Se continuará.) Por providencia del Sr. D. Angel Fernandez de los Ríos , del Consejo de S. M. y teniente corregidor de esta mu…</t>
  </si>
  <si>
    <t>Güemes, Cristóbal Gómez y</t>
  </si>
  <si>
    <t>Cristóbal Gómez y Güemes</t>
  </si>
  <si>
    <t>…a Inquisición de esta corte, inserta en las gacetas de 17 y 11 de Febrero y 2 de Mayo del corriente año, se mandó que los que se creyesen con derecho á varios vales reclamados por D. Cristóbal Gómez y Güemes, tesorero receptor general del Consejo de la supre ma y general Inquisición, acudiesen á dicho Santo Oficio por sí ó por procurador con poder bastante en los precisos términos de 20 y 15 dias que se concedieron; y no habiéndolo egecutado, á instancia del cita…</t>
  </si>
  <si>
    <t>Guer, Juan Alvarez</t>
  </si>
  <si>
    <t>Juan Alvarez Guer</t>
  </si>
  <si>
    <t>…Pre ciados , frente á la dé Rompélanzas. Trillo económico,-dado á conocer por la Real sociedad de Vailadolid en obse quio de los labradores.—^Correcciones al trillo inventado por D. Juan Alvarez Guer ra, egecutádas por.D. Juan Francisco Gutiérrez, y publicadas por la Real sociedad de Vailadolid.^»Informe descriptivo y diseño de una sembradera, inventada y pre sentada á !a rReal sociedad de Vailadolid por su individuo D¿ Antonio Regás. Es tos tres interesa…</t>
  </si>
  <si>
    <t>Guerard, N. N.</t>
  </si>
  <si>
    <t>N. N. Guerard</t>
  </si>
  <si>
    <t>&lt;§« : vicario apostólico D. Santiago Benjamín Lenger, obispo de Gortine: su coadjutor D. N. N. Guerard. Coghinchika. Los reinos de Cochinchina, Chiampa, Cambo jay tierras de Laos. Un obispo y cuatro misioneros clérigos franceses del mismo semina rio y tres franciscanos italianos: 15 sacerdotes del pais: unos 60© cristianos: religión cristiana tolerada: vicario…</t>
  </si>
  <si>
    <t>Guereñu, Pedro Díaz</t>
  </si>
  <si>
    <t>Pedro Díaz Guereñu</t>
  </si>
  <si>
    <t>…é pueda propor cionar una obra tan interesante Vtjue.tanto fruto Ha. hectíb. • V Sermones deMlmo. Sr. D. Juan Bautista Massilion , -obispo de/Glermont, tradu cidos al español por. D. Pedro Díaz Guereñu. El mérito de esta obra es bien conoci do de todos los sabips'orádores , por ió que consideramos superfluo hacer su elogio; comprende los sermones de adviento , misterios , cuaresma , panegíricos1, fúnebres y profesiones religiosas,.con él jparáfrásis moral d…</t>
  </si>
  <si>
    <t>Guerra, Josef Mariano</t>
  </si>
  <si>
    <t>Josef Mariano Guerra</t>
  </si>
  <si>
    <t>…ayudar las guerrillas que necesitasen ser auxiliadas; peró el fuego activo de estas, la bue na dirección de la artillería, y el valor decidido dé los oficiales de dicho es cuadrón D. Josef Mariano Guerra, ayudante maybr. de él , teniente gradua do. D. ‘Cesáreo Medellin , y alférez. D. Mariano Mondrágon-, que con su valiente caballería persiguieron incesantemente al enemigó , ño me dejaron na da que desear » eümpliendd todos » porña con ios deberes de su emple…</t>
  </si>
  <si>
    <t>Guerrero, Francisco</t>
  </si>
  <si>
    <t>Francisco Guerrero</t>
  </si>
  <si>
    <t>,, Antes de esta noticia tuve aviso del capitán D. Francisco Guerrero, co mandante de una partida de caballería exploradora de la sección de Tulaacingp, que á su llegada al Grangenal encontró la caballería de Rioverde; y en seguida ordené al teniente coronel IX Francisco de las Piedras, coman dante de toda la tropa de esta arma…</t>
  </si>
  <si>
    <t>Guerrero, Josef</t>
  </si>
  <si>
    <t>Josef Guerrero</t>
  </si>
  <si>
    <t>…puerto de Juan Griego, y batiendo sus Tuer tes; asi como al teniente de navio comandante de la corbeta Diamante Don ■ Antonio Quintano, y al osado capitán del batallón de la Reina D. Josef Guerrero, comandante de las flecheras, el terror denlos piratas insurgentes,* que como siempre estuvo en el ataque de mar, y después en tierra, en ios momentos mas críticos de la acción. / ,,Son acreedores á toda consideración por los auxilios que han prestado al egér…</t>
  </si>
  <si>
    <t>…como lo egecuto. En fin han sido derrota dos mas de 400 que habían reunido los enemigos de la nación, y creo no vol verán tan pronto á unirse mas miserables aí prófugo Mariño. Ei capitán Don Josef Guerrero me ha auxiliado en Carupano con 20 hombres de la escuadri lla de su mandó, n de Barbastro y el resto del pais, quien se dirigió en combinación conmigo con sus buques para la Esmeralda, á fin de llamar la atención de los rebeldes por aquella parte. Dios &amp;c. Ca…</t>
  </si>
  <si>
    <t>Guevara, Francisco Rodríguez de</t>
  </si>
  <si>
    <t>Francisco Rodríguez de Guevara</t>
  </si>
  <si>
    <t>…tíli„ dad y variaciones que había padecido este establecimiento. Concluida la lec tura del discurso, se presentaron los 21 colegiales que hay en el dia, acom pañados de su maestro D. Francisco Rodríguez de Guevara, los que fueron examinados por el señor corregidor y dicho rector en la doctrina cristiana y rudimentos de historia sagrada por los catecismos del P. Ripalda y det abad Fleuri, á que respondieron los niños con el mayor acierto. En seguida leyeron en varias ob…</t>
  </si>
  <si>
    <t>Guijarro, Francisco López</t>
  </si>
  <si>
    <t>Francisco López Guijarro</t>
  </si>
  <si>
    <t>…preció en sumo gra do, y le dijo estaba, pronto á morir por Dios y su Rey* J^’ern'AN'do vit$ estas fueron sus últimas palabras. Lo mismo sucedió con el capitán de milicias urbanas D. Francisco López Guijarro, á quien mutilaron vivo brazos y pier-&gt; ñas. Cuando llegó á noticia del Re y nuestro Señor semejante acontecimiento; que recuerda las defensas de Numancia y de Sagunto en la antigua España, y las de Zaragoza y Gerona en las últimas campañas de la península ;…</t>
  </si>
  <si>
    <t>Guilielmi, Antonio</t>
  </si>
  <si>
    <t>Antonio Guilielmi</t>
  </si>
  <si>
    <t>…1749, 31905^ 32389, 32762,33102,339*5» 34°&lt;59» 35247, 36884» 49324» 4953o» 5779?* 59^77. 59988 y 60328: á los cuáles se ha puesto demanda, de reclamación por dicho señor encargado D. Antonio Guilielmi, como pertenecientes á los que se dice fueron sa cados á la fuerza por el Gobierno intruso del tesorero de S. A. D. Felipe de Baños, por quien resulta fueron endolados en 3 de Abril de 1809 *1 director de bienes na-r cionales, y desde este siguen otros endoso…</t>
  </si>
  <si>
    <t>Guillelmi, Antonio</t>
  </si>
  <si>
    <t>Antonio Guillelmi</t>
  </si>
  <si>
    <t>…021, 213022, 213026, 213027, 213028, 213029, 213Ó31', 213032,, 213275, 214261, 2x4510 y 215496: á todos los cuales se halla puesta demanda de reciamacion por dicho señor encargado D. Antonio Guillelmi, como pertenecientes í Jos que se dice fueron sacados á la fuerza por el Gobierno intruso del tesorero de S. A. D. Felipe Baños, y en cuya cabeza resulta salieron en la renovación del pre citado año de 1808; y i su virtud se les cita para que en el término de…</t>
  </si>
  <si>
    <t>…31269, 31749, 31905,32389, 32762,33202, 33915,34069, 35247, 36884, 49324,49530, 5779o» 59677» 599^3 y 60328, á todos los cuales se halla puesta demanda de reclamación por el señor brigadier D. Antonio Guillelmi, encargado por S. M. de la dirección y administración de los bienes, rentas y derechos que gozo el Sermo. Sr. Infante D. Antonio Pascual (que en paz descanse), como pertenecientes á los que parece fueron sacados á la fuerza por el Gobierno intruso del tesorer…</t>
  </si>
  <si>
    <t>Guillelmt, Antonio</t>
  </si>
  <si>
    <t>Antonio Guillelmt</t>
  </si>
  <si>
    <t>…a de D. Manuel López de Rivas, escribano de provincia y comisiones, y del juzgado de comandancia de los Reales cuerpos de Ar tillería é Ingenieros de esta plaza, y á instancia del Sr. D. Antonio Guillelmt, bri gadier de los Reales cgércitos, como encargado por, S. M. de la dirección y adminis tración de los bienes, rentas y derechos que gozó el Sermo. Sr. Infante D. Antonio Pascual (que en paz descanse), se cita, llama y emplaza á todos los actuales desco noci…</t>
  </si>
  <si>
    <t>Guillen, Felipe</t>
  </si>
  <si>
    <t>Felipe Guillen</t>
  </si>
  <si>
    <t>…dor Xavier Mina en el rancho del Venadito, perte neciente d la hacienda de la Tlachiquera. De Frontera : el capitán graduado de teniente coronel D. Josef María No-' voa; tenientes D. Felipe Guillen y D. Mariano Miqueley; portas D. Benito Fernandez y D. Mariano Teran. De Nueva-Vizcaya: alféreces D. Lázaro Armendariz y D. Justo Escudero. De Sierragorda: capitán graduado de te niente coronel D. Cristóbal Villaseñor; teniente graduado de capitán D. Jo-, sef García Marín , tenien…</t>
  </si>
  <si>
    <t>Guillen, Francisco</t>
  </si>
  <si>
    <t>Francisco Guillen</t>
  </si>
  <si>
    <t>…ragón, al brigadier D. Francisco de Paqla Uztariz, capir* tan del primer regimiento de las mismas Reales guardias: el del castillo de la isla de la Cabrera, una de las Baleares, á D. Francisco Guillen, alférez del regimiento de dragones de Numancia: la primera ayudantía de la plaza de Alcántara al teniente D. Manuel Martínez, subteniente del regimiento de in fantería de la Princesa: la tercera de la de Ceuta á D. Antonio Toderin!, subteniente del regimient…</t>
  </si>
  <si>
    <t>Guillen, Josef</t>
  </si>
  <si>
    <t>Josef Guillen</t>
  </si>
  <si>
    <t>…asco, todos del regimienro de Burgos, que fueron heridos; á los subtenientes del batallón de la Reina Doña Isabel D. Josef Masanes y Don Antonio Calderón, teniente del de Clarines D. Josef Guillen, y á los subte nientes del mismo cuerpo D. Julián Fuentes Reinoso y D. Trinidad Llinás, que fueron todos también heridos, algunos muy gravemente. „ El capitán de Milicias indio graduado de teniente coronel D. Josef Ma ría Chauran, agregado al batallón de Clar…</t>
  </si>
  <si>
    <t>Guilliodts, Pedro</t>
  </si>
  <si>
    <t>Pedro Guilliodts</t>
  </si>
  <si>
    <t>…e la casa de Correos de ésta corté , donde se, admitirán las que se hicieren. Por providencia del tribunal del consulado de Cádiz, dictada en los autos de concurso de acreedores £ D. Pedro Guilliodts, se ha mandado citar y emplazar a cnantosf se estimen con derecho á los bienes y masa de'dichó concurso, para que en el término de ochó iqese§ acujianra formalizarlo con los documentos que lo comprueben en la escribanía de Cámara de Q. Elias Izquierdo y Payan…</t>
  </si>
  <si>
    <t>Guilti, Mateo</t>
  </si>
  <si>
    <t>Mateo Guilti</t>
  </si>
  <si>
    <t>…que comunico' á vmd» como comandante en gefe de dicha acción. „Dios guardeá vmd. muchos años. Telo loa pan y Octubre 22 de 1817.sU Bernabé Villanueva.=Sr. témeote coronel graduado D. Mateo Guilti.” Mahon 7 de Marzo, Hitado que manifiesta lo* barcos que ¡existen incomunicados eit este laza* reto hoy dia de la fechan con expresión de nación, cargo, procedencia f ■ demas que dcontinuación se expresa. I. ® Bergantín S. Antonio, patrón Estéban Vítalo, espa…</t>
  </si>
  <si>
    <t>Guiral, Josef</t>
  </si>
  <si>
    <t>Josef Guiral</t>
  </si>
  <si>
    <t>…en dar á V. E. exacta noti cia de todas las ocurrencias, adelanto este parte para su superior conocimien to por mí ayudante el teniente del regimienta de infantería fijo de México D. Josef Guiral; recomendando á V. E. muy particularmente el distinguido mérito que ha contraido en esta división, y la dedicación y empeño decidi do con que ha trabajado en todo el sitio. Dios guarde á V. E. muchos años. Fortificación de Xaujilia 6 de Marzo de 1818 á las 8…</t>
  </si>
  <si>
    <t>…el fuerte de Xaujilia que aca bo de recibir ahora, que son las cuatro y cuarto de la mañana, y cuyo par te original conduce á V. E. desde el sitio el ayudante del señor comandante general D. Josef Guiral, fue anunciada en esta ciudad con repique general y salva de artillería, resonando entre el estruendo del cañón las aclamaciones y vivas mas tiernos á nuestro augusto Soberano. Dígnese V. E. recibir estas cortas demostraciones de fidelidad de esta ciudad, que…</t>
  </si>
  <si>
    <t>Guiralj, Josef</t>
  </si>
  <si>
    <t>Josef Guiralj</t>
  </si>
  <si>
    <t>…iten dar á V. E. exacta noticia de todas las ocurrencias, adelanto este parte para su superior conocimiento por mi ayudante el teniente del regimiento de infantería fijo de México Don Josef Guiralj recomendando á'V.-E. muy particularmente el distinguido mé rito que ha contraído en ésta división, y el empeño decidido con que ha trar bajado en todo el sitio. ,, Dios guarde á V. E. muchos años. Fortificación de Jaujilla 6 de Mar zo de 1818 á las 8 de la ma…</t>
  </si>
  <si>
    <t>Guizárnótegui, Francisco de</t>
  </si>
  <si>
    <t>Francisco de Guizárnótegui</t>
  </si>
  <si>
    <t>Dios' guarde á Vi S. tnuchos años* Castillo Abril 291 de i8x8 =. Julián Jubera. =: Sr. coronel y comandante general D. Francisco de Guizárnótegui.” Indulto. En el mes próximo anterior se han declarado por el Excmd. Se ñor vi rey 966 indultos á otros tantos individuos que se han presentado implo rando esta Real gracia, y que estando en la rebelión desde el principio de ella emboscados y embarrancados, i…</t>
  </si>
  <si>
    <t>Gurt, Jaime</t>
  </si>
  <si>
    <t>Jaime Gurt</t>
  </si>
  <si>
    <t>…tos de trinitarios y dominicos, y monjas de Santa Clara. Se proveerá la plaza el dia 15 de Agosto próximo, y los aspirantes dirigirán sus memoriales al secretario de ayuntamiento* D. Jaime Gurt. Se desea tener noticias de Liborío. Apolinar Cañaveras, natural de la villa de Pastrana, de edad de 35 años, y de estado casado: en 15 de Junio de 1806 sentó plaza de soldado en el regimiento infantería de la Corona; sirvió después en la se gunda compañía de…</t>
  </si>
  <si>
    <t>Gutiér, Alejandro</t>
  </si>
  <si>
    <t>Alejandro Gutiér</t>
  </si>
  <si>
    <t>…es, y se halla tasada en la cantidad de 18540Ó rs., de cuya cantidad se rebajarán sus cargas. La persona que quiera hacer postura acuda ante dicho señor y escribanía del número de D. Alejandro Gutiér rez, que se admitirá siendo arreglada. En virtud de providencia del Sr. D. Angel Fernandez de los Ríos, del Conse jo de S. M., teniente corregidor de esta muy heroica villa, se cita, llama y empla za á todas ias personas, corporaciones ó establecimientos que…</t>
  </si>
  <si>
    <t>Gutiér, Antonio</t>
  </si>
  <si>
    <t>Antonio Gutiér</t>
  </si>
  <si>
    <t>…or tres, y el último con la cali dad de perentorio , se concede á los parientes y personas que se crean con derecho de heredar abintestato los bienes quedados por fallecimiento de D. Antonio Gutiér rez Pacheco, que falleció en esta corte en 2 del mismo mes, para que se presenten ante el mismo señor y escribanía del. número de D. Antonio Villa y Fernandez á pedir lo que estimen en dicho'término; én inteligencia que dé no hacerlo, sin mas ci tación ¿e sus…</t>
  </si>
  <si>
    <t>Gutiér, Ramón</t>
  </si>
  <si>
    <t>Ramón Gutiér</t>
  </si>
  <si>
    <t>…Chirinos 4 , D. Gerónimo Losada 3 , D. Rodulfo Vasallo iD. Tomas Pónce 4 reales¿ D. Juan Campos 2 pesos, D. Juan Insua 2 , Don Francisco Rodríguez Mesa 2 * Sres. Perez y Chaves 4, D. Ramón Gutiér rez 6, D. Feliciano Borges 4, D. Josef Hernández Horta 4 , D. Matías Cas tro 4, D. Juan V ícente Perez 2, D. Antonio García 2 , D. Pedro Castillo 4, D. Josef Antonio Rasquin 5 , D. Francisco de Iturbe 10, D. Ramón de Azpurua 5 , Dv Miguel Rabelo Alcántara 16,…</t>
  </si>
  <si>
    <t>Gutiérrez, Josef</t>
  </si>
  <si>
    <t>Josef Gutiérrez</t>
  </si>
  <si>
    <t>…D. Angel Fernandez de los Ríos, del Consejo dé S. M,, teniente primero de corregidor de esta muy heroica villa, ha señalado para la cele bración de una junta de los acreedores de D. Josef Gutiérrez el día 3 de Noviembre próximo, á las nueve én punto de su mañana, citándolos por los papeles públicos de esta capital para su concurrencia, por sí ó por medio de apoderados que les re presenten , con poder bastante, con prevención que no verificándolo, les pa…</t>
  </si>
  <si>
    <t>Gutiérrez, Josef Ignacio</t>
  </si>
  <si>
    <t>Josef Ignacio Gutiérrez</t>
  </si>
  <si>
    <t>…, ' Doña Manuela Martín Alonso, D. Manuel Rodríguez, D. Juan de las Fuentes, D. Julián de Arozarena, D. Manuel de Navacerrada, D. Lorenzo Tarsis y herma nos, D. Manuel de Iruegas, D. Josef Ignacio Gutiérrez, la casa de Iruegas y Gil, y D. Antonio Penaso, sus hijos, herederos ó sucesores, para que en el término de 30 dias, contados desde el 4 de Agosto del corriente año, se presenten por sí o por* medio de apoderado en la audiencia de dicho señor y escribanía de…</t>
  </si>
  <si>
    <t>Gutiérrez, Josef Márcos</t>
  </si>
  <si>
    <t>Josef Márcos Gutiérrez</t>
  </si>
  <si>
    <t>…a á 26 de Junio de 1818. Vén* dese á 4 rs. en el despacho de lá imprenta Real. La obra de Febrero reformado dividida en 8 tomos, 2 de escrituras, 3 de juicios y 3 de criminal, por D. Josef Márcos Gutiérrez. Obra, no solo necesaria á los es cribanos , abogados y jueces, sino también útilísima á los procuradores» agentes de negocios y á toda clase de personas. Las varias ediciones hechas acredita el buen Concepto que merece dicha obra. 5e hallará en la librería d…</t>
  </si>
  <si>
    <t>Gutiérrez, Josef María</t>
  </si>
  <si>
    <t>Josef María Gutiérrez</t>
  </si>
  <si>
    <t>…D. Miguel Tejeiro , subtenientes D.'Juan Perez y D. Juan Josef Reviila. De la Corona : teniente D. Ignacio Valiente. De Frontera: teniente coronel graduado D. Josef María Novoa , teniente D. Josef María Gutiérrez, " . Felipe Guillen, y agregado D. Mariano Miqueley, alférez graduado d^ - .rnañ'D. Josef María Peña , poirta graduado dé teniente D. Mariano Teran, porta D, Benito Fernandez y cade:e!D. Josef Zamora. De Nueva-Vizcaya: capitán D. Josef María Móreno y\alférece…</t>
  </si>
  <si>
    <t>Gutiérrez, Juan Francisco</t>
  </si>
  <si>
    <t>Juan Francisco Gutiérrez</t>
  </si>
  <si>
    <t>…. Trillo económico,-dado á conocer por la Real sociedad de Vailadolid en obse quio de los labradores.—^Correcciones al trillo inventado por D. Juan Alvarez Guer ra, egecutádas por.D. Juan Francisco Gutiérrez, y publicadas por la Real sociedad de Vailadolid.^»Informe descriptivo y diseño de una sembradera, inventada y pre sentada á !a rReal sociedad de Vailadolid por su individuo D¿ Antonio Regás. Es tos tres interesantes tratados se hallarán en Madrid en la libre…</t>
  </si>
  <si>
    <t>Gutiérrez, Manuel Sancho</t>
  </si>
  <si>
    <t>Manuel Sancho Gutiérrez</t>
  </si>
  <si>
    <t>…por contestado, parándoles el perjuicio que haya lugar en derecho. En la causa pendiente en el tribunal eclesiástico de Orense para averiguar la exis tencia,, paradero y estadó de D. Manuel Sancho Gutiérrez, poseedor del beneficio simple de Sta. Eulalia de Vences, en dicho obispado, y natural de la ciudad de Mérida, por auto de 22 de Octubre del presente año se mandó por los Sres. provi sores y gobernadores de dicho obispado, sede vacante, que se fijen edictos l…</t>
  </si>
  <si>
    <t>Gutiérrez, Marcelino Losada</t>
  </si>
  <si>
    <t>Marcelino Losada Gutiérrez</t>
  </si>
  <si>
    <t>…go, natural de Cienpozueios, ,y de Doña Concepción Dorado, natural de esta corte, ya difuntos, la cual tiene dos hermanos llamados D.; Félix y D. Lean dro, que se sirva avisarlo á D. Marcelino Losada Gutiérrez, calle del Pozo, entran do por la de S. Bernardo, núm. y, cuarto bajo, pues es para comunicarla asuntos de interes. Para mayor comodidad de los profesores de primera educación y del publico se hallarán de venta desde hoy las siguientes obras del Real colegio…</t>
  </si>
  <si>
    <t>Gutiérrez, María</t>
  </si>
  <si>
    <t>María Gutiérrez</t>
  </si>
  <si>
    <t>…sona á su nombre, en la librería de Quirós, donde se dará mas razón, ó en la ciudad de Burgos, casa de Doña Sinforosa Montero. Se suplica á la, persona que supiese del paradero de Doña María Gutiérrez, hija de D, Diego, natural de Cienpozueios, ,y de Doña Concepción Dorado, natural de esta corte, ya difuntos, la cual tiene dos hermanos llamados D.; Félix y D. Lean dro, que se sirva avisarlo á D. Marcelino Losada Gutiérrez, calle del Pozo, entran do por la…</t>
  </si>
  <si>
    <t>Gutiérrez, Martinianó</t>
  </si>
  <si>
    <t>Martinianó Gutiérrez</t>
  </si>
  <si>
    <t>…pulos de primeras letras igualmente y por clases dieron pruebas satisfactorias de su aplicación y adelantamientos, respondiendo á cuantas preguntas les hicieron tanto süs maestros D. Martinianó Gutiérrez dé Rozas y D. Lomáis Pardo como otros muchos señores del citado concurso. Los discípulos de gramática latina, cuya enseñanza está al cargo del rectoi* D. Santiago de Izaga , presbítero , y del repetidor D. Manuel Balugera, llena ron igualmente de una completa…</t>
  </si>
  <si>
    <t>Gutierrez, Matías</t>
  </si>
  <si>
    <t>Matías Gutierrez</t>
  </si>
  <si>
    <t>…r exámenes públicos en-doctrina crisnana* y lectura de libros castellanos, al juicio de los socios natoscurasde Sari Andrés, S. Sebastian y S. Lorenzo , Dr. D. Bernardino Herrera, D. Matías Gutierrez y D. Lúeas Fuentes , á las niñas que manifestaron mas instrucción é inteligencia. Llegado el dia, todo se verificó á presencia de un numeroso concurso dé personas de ambos sexos y de todas clases ¿ que en unión de los; socios, y á presencia de las autoridades que asistieron con…</t>
  </si>
  <si>
    <t>Gutiérrez, Nicolás</t>
  </si>
  <si>
    <t>Nicolás Gutiérrez</t>
  </si>
  <si>
    <t>…s: teniente coronel graduado D. Anastasio Bustamante, capitán graduado D. Felipe Mendez, teniente D. Manuel Muñoz, al féreces D. Pedro de Legarreta y D. Feliciano Guerra, y cadete D. Nicolás Gutiérrez. Dragones de Querétaro: alféreces D. Josef Frias, D. Manuel Arre ta y D. Mauro Camocho. Dragones deS. Carlos: capitán D. Domingo ligar te y portas D. Josef Ignacio Ximenez y D. Pedro Alarcon. Fieles del Potosí: capitán graduado D. Mariano Guardiola. Realistas…</t>
  </si>
  <si>
    <t>…te de géndarroas á la puerta de la casa en que vive S. E. ESPAÑA. México 22 de Octubre. Continúan los partes remitidos al Exento. Sr. virey. TOlUCA." Oficio del teniente coronel y comandante D. Nicolás Gutiérrez. „Excmo. Sr.: Consecuente al sistema que indiqué á V. E. por el parte dado a esa superioridad desde la hacienda de la Merced con fecha 12 de este mes, en que detallé la acción sostenida contra Vargas y sus secuaces,me di rigí al 'pue&amp;p Ede TenanCingo. En ¿1 c…</t>
  </si>
  <si>
    <t>…re 24 de 1817.= Josef María Soria.e=Sr. teniente coronel D. Antonio de Larragoiti.” i TOLUCA. Oficio del teniente coronel Z&gt;. Francisco Aran dia. ,,Excmo. Sr.: Ausente el teniente coronel D. Nicolás Gutiérrez, antes de ayer viernes, á las 10 y media de la uoche, recibí la extraordinaria, fecha del mismo dia, que V. E. mandó i dicho gefe con la interesante y deseada' noticia de que el Sr. Orrantía cogió á Mina y varios de sus secuaces: con. extraordinaria complacen…</t>
  </si>
  <si>
    <t>513</t>
  </si>
  <si>
    <t>…insistir en condición alguna, les ha concedido aquel en nombre del Rey nuestro Señor; dando las gracias al benemérito cura de Tenango Br. D. Dionisio Josef de Zuñiga y aF teniente coronel D. Nicolás Gutiérrez por este servicio hecho en bien de la humanidad, del Real servicio y de la pacificación de estos reinos, y tam bién á los indultados por los mismos motivos. INDULTO DE LAS GAVILLAS DEL CANTON DE SOLTEROS, EN EL DISTRITO DE NAUTLA. ,,Excmo. Sr.: En este moment…</t>
  </si>
  <si>
    <t>…cuentemente. &lt; ,,Dios guarde á vmd. muchos años. S. Josef Febrero 7 de 1818 = Valen tín Vera.=$r. teniente coronel D. Antonio de Larragoiti.” TOLUCA. Oficio del teniente coronel y comandante D. Nicolás Gutiérrez. ,,Excmo. Sr.: [Que momento de alegría se le presenta al magistrado cuan do entregado todo a la utilidad pública ve cumplidos sus afanes y providen cias ! Este considero en V. E. con la plausible noticia que supongo habrá reci bido, ya de haberse rendido el 6…</t>
  </si>
  <si>
    <t>…sta. Todo lo que comunico á V'.' - para sú inteligencia y gobierno. ,,Dios guardeá-V. - muchosañós. S. Nicolás GüatepéC Abrtl i3 de 1818 Juan Zamorategui. = Sr. teniente coronel y comandante D. Nicolás Gutiérrez.” Idem 2 de Jimio. Porté del teniente coronel D. Ignacio Amor al comandante general' Don Ciríaco de Ulano. . ,, Ayer al toque de diana salieron por el bosque y por diferentes.</t>
  </si>
  <si>
    <t>Gutierrez, Nicolás</t>
  </si>
  <si>
    <t>Nicolás Gutierrez</t>
  </si>
  <si>
    <t>…hidrofobia es tan funesta á la vida vegetal como á la animal.” . -ESPAÑA. ’ México 29 de Abril. Continuación de los partes de Nueva-España. TOLUCA. Oficio del teniente, coronel y comandante D. Nicolás Gutierrez. . ,,Excmo. Sr.: Tengo la satisfacción de dar á V\ E. la noticia de que si gue la demarcación de mi cargo en toda su extensión, asi en los pueblos como en los fundos rústicos, con la tranquilidad que le tengo anunciada, por lo que el tráfico se continúa en to…</t>
  </si>
  <si>
    <t>…;Dios guarde á V. E. muchos*5ños. Zacuálpan Mayo 28 de 1818.^Exce lentísimo Sr.= Mateo Quilfy. = Excmo. Sr. virey D. Juan Ruiz de Apodaca,” ' TOLUCA. Oficio del teniente coronel y comandante D. Nicolás Gutiérrez. ,, Excmo. Sr.: El sosiego y buen órden que se disfruta en esta demarca ción de mi cargo no le perturba novedad alguna de atención; pues un ladrón-’ cilio ratero que andaba por jos ranchos de Almaya fue aprehendido por los dragones de JLerma, y se le está for…</t>
  </si>
  <si>
    <t>Gutiérrez, Patricio</t>
  </si>
  <si>
    <t>Patricio Gutiérrez</t>
  </si>
  <si>
    <t>…s: ca pitán D. Domingo Ugarte; alféreces D. Cesáreo Medellin y D. Mariano Mondragon. Fieles de S. Luis: capitán graduado de teniente coronel D. Ni colás Zarzosa; teniente graduado D. Patricio Gutiérrez. Nueva-^Galicia : ca-, piran graduado D. Mariano González Laris; alférez D. Mariano Becerra. Realistas de Apan: capitanes D. Joaquín Espinosa y D. Josef Ortiz; tenien tes D. Isidro Espinosa y D. Josef Castillo , y alférez D. Rafael Salinas. ,, Asimismo mis ay…</t>
  </si>
  <si>
    <t>Gutiérrez, Pedro</t>
  </si>
  <si>
    <t>Pedro Gutiérrez</t>
  </si>
  <si>
    <t>…6r: noticia que adquirió de varios profesores del arte de curar , y por observaciones de muchos enfermos, se \ralió de los conocimientos y ciencia' del -primer profesor de química D. Pedro Gutiérrez .Bueno, boticario mayor honorario de S. M., y actualmente regente de su Real botica, á quien envió, las cantidades de agua suficientes de las fuentes de. Aribe, y Orozbetelú, pue%lps del reino de Navarra, para qué las analizase con su acostumbrada exactjíftd,…</t>
  </si>
  <si>
    <t>…de Calatrava. En América. El gobierno militar y político de la provincia de CostaRica al teniente coronel D. Bernardo Vallarino, y la comandancia del cas tillo de Omoa al teniente coronel D. Pedro Gutiérrez, ambos en el reino de Goatemala. El día 15 del corriente saldrá de Cádiz la goleta Galga, correo de la arrtiada, con la correspondencia de oficio y pública para todos los puntos de las Américas. Lo que se avisa al público para su inteligencia á los efectos qu…</t>
  </si>
  <si>
    <t>Gutiérrez, Vicente Trancho</t>
  </si>
  <si>
    <t>Vicente Trancho Gutiérrez</t>
  </si>
  <si>
    <t>…y D. Pedro de Ribero. Lo que se avisa de orden del,, Consejo para qué los respectivos interesados en los mencionados papeles acudan, si les conviniese , á recogerlos dei referido D. Vicente Trancho Gutiérrez, que vive ca-, lie del Prado, número 5. Serhallá Vacante el partido de médico de la villa del Molar, siete leguas distante de Madrid, cuya dotaeloA son 6$ rs. cobrados y pagados mensualmente: tiene por, anejo á S. Agustín, que vale 2© rs., y puede visitar en…</t>
  </si>
  <si>
    <t>Guzman, Alonso Perez de</t>
  </si>
  <si>
    <t>Alonso Perez de Guzman</t>
  </si>
  <si>
    <t>…azquez de Silva, Alonso Cano, Bartolomé de Mu-f rillo, y Juan de Herrera: 13. D. Iñigo López de Mendoza, Juan Ginés de Sepúlveda, Francisco de Salinas, Fr. Benito Gerónimo Feijoo, D. Alonso Perez de Guzman, y Rodrigo Diaz de Vivar. £Se continuara*) Por providencia del Sr. D. Andrés Oller, del Consejo de S. M., alcalde de Ca sa y Corte, de 24 del pasado, se ha mandado que por este periódico sean citados, llamados y emplazados, con término de un mes, contado desd…</t>
  </si>
  <si>
    <t>Guzman, Francisco Pío</t>
  </si>
  <si>
    <t>Francisco Pío Guzman</t>
  </si>
  <si>
    <t>…. Josef Benito diser* taran sobre ¿cuántos son los métodos conocidos para la enseñanza de la lec tura , y cuál es el mas progresivo para un aula pública ? &gt; El dia 30 de Noviembre D. Francisco Pío Guzman y D. Basilio Mateo sobre los autores del arte de escribir, ¿cuál es el que por su sencillez y exac titud es el mas á propósito para la enseñanza ? El dia 21 de Diciembre D. Antonio Navarreté y D. Tomas del Campó sobre si convendrá enseñar á los niños la aritméticá en abstracto…</t>
  </si>
  <si>
    <t>Guzman, Juan</t>
  </si>
  <si>
    <t>Juan Guzman</t>
  </si>
  <si>
    <t>…a por ortografía y gramática castellana; á D. Venancio de $agarnaga y Don Faustino ae Ampuaia por buena conducta; á D. Josef de Puente en la clase de menores y demas rudimentos; á D. Juan Guzman en la de medianos, y á Don Liborio ae Otazu, por haber salido en suerte con otros, por la aplicación y Jbuena conducta, con lo cual se concluyo el acto; habiendo'dado el alcalde que presidio las mas expresivas gracias á los maestros por su exactitud en el des…</t>
  </si>
  <si>
    <t>Guzmati, Baltasar de Frías y</t>
  </si>
  <si>
    <t>Baltasar de Frías y Guzmati</t>
  </si>
  <si>
    <t>…or de esta muy heroica villa, se cita y emplaza á las personas par ticulares ó comunidades de cualesquiera clase y condición que sean que se consideren con derecho á ios bienes de D. Baltasar de Frías y Guzmati, coronel y comandante que fue de voluntarios de Aragón, y Dona María G-arca y Velillas, su muger , y de su* dos hijos D. Francisco de Paula y Dona María Josefa de Frías, que parece murieron abintestato, el D. Francisco en el año de 1812, siendo ya capitán del…</t>
  </si>
  <si>
    <t>Guztrnan, Josef Belzuhce-y</t>
  </si>
  <si>
    <t>Josef Belzuhce-y Guztrnan</t>
  </si>
  <si>
    <t>…iembros útiles a la patria , capaces de Sostener y defender la inmunidad de los detechos del trono y del %ltar. aíiticui»o de oficio. El Rey nuestro Señor se ha servido conceder á D. Josef Belzuhce-y Guztrnan su Real permiso pára poder usar de la insignia de la cruz de caballería de da Espuela dé Oro ton que S. S, le ha condecorado en atención á -sus méritos* Para que los vales'no consolidados puedan admitirse eih;pago de la quinta parte de los derechos de aduanas…</t>
  </si>
  <si>
    <t>Gxástañaga, Martin de</t>
  </si>
  <si>
    <t>Martin de Gxástañaga</t>
  </si>
  <si>
    <t>…tal. ,? A instancia de la .dueña de una casa, sita en la .plazuela del Angel de estatorte, que perteneció ál concurso de í). Pedro Josef de Adame, y en virtud de. provi dencia del Sr. D. Martin de Gxástañaga, del Consejo de S. M. , su alcalde dé Casa y Corte, refrendada por D. Mánu.eLLopez de Rívas, escribano de provincia y co misiones, se cita, llama y emplaza á todos los acreedores censualistas al precitado concurso., que no se hayan mostrado parte últimamente,…</t>
  </si>
  <si>
    <t>Gyllemborg</t>
  </si>
  <si>
    <t>…[5 cuartos.] 9*7 GACETA DE MADRID DEL JUEVES 10 DE SETIEMBRE DE 1818. SUECIA. Stockolmo 7 de Agosto. El Rey al salir para la Noruega nombró una comisión gubernativa com puesta del conde Gyllemborg, ministro de la Justicia; del conde Rosenblad, consejero de Estadodel barónCederstroem, gobernador de la capital, y gefe del estado mayor de la escuadra, y del consejero de Estado conde Moerner. El Rey lleva en su comitiva al conde Brahe y al barón Koskull, y…</t>
  </si>
  <si>
    <t>Había, Weimar</t>
  </si>
  <si>
    <t>Weimar Había</t>
  </si>
  <si>
    <t>…uch y Froniep se les ha mandado salir de, la. corte.. Los periódicos la Nemesia y el Amigo del pueblo han sido suprimidoscomo también el titulado el Amigo de los Príncipes, que el profesor Weimar Había sustituido: al ultimo de aquellos. Ademas de esto su autor ha tenido que salir dé Jena asi comó el doctor Lindner se ha visto precisado á salirde aquíen virtud de lo cual creemos que el. conde.de Ediiog, vuelva, bien, prontoi BAVIERA. Munich. 18.de Febrero. E…</t>
  </si>
  <si>
    <t>Hacienda, Secretario del Despacho de</t>
  </si>
  <si>
    <t>Secretario del Despacho de Hacienda</t>
  </si>
  <si>
    <t>…em........... En Burgos. 28603. 1000 idem........... En Cádiz. 20576. 1000 idem........... En idem. ARTICULO DE OFICIO. Circulares de la Dirección general de Rentas. i.a El Excmo. Sr. Secretario del Despacho de Hacienda nos comunica con fecha 9 del corriente la Real orden que sigue: „ Habiendo dado cuenta al Rey de una representación de la justicia, ayuntamiento y junta de repartimiento de la villa de S. Juan del Puerto, en el condado de Niebla y provincia de Sevilla , quien…</t>
  </si>
  <si>
    <t>…comunique á las justicias de los pueblos de su territo rio; y del recibo de esta me dará aviso. Madrid 20 de Enero de 1818. Circular de la "Dirección general de Rentas. Él Excmo. Sr. Secretario del Despacho de Hacienda nos ha comunicado en 10 del corriente la Real orden que sigue: Con esta fecha digo al intendente de Cataluña lo siguiente: ,, Enterado el Rey nuestro Señor del papel de V. S. de 19 de Setiembre óltimo, y de la representación de la junta principal déla contrib…</t>
  </si>
  <si>
    <t>…s lo conveniente á su cumplimiento. = Señalado de la Real mano. = En Palacio á 26 de Enero de 1818.=A Don Martin de Garay. '* Circular de la Dirección general de Rentas. El Excmo. Sr. Secretario del Despacho de Hacienda con fecha de 3 del corriente nos comunica la Real orden que sigue: „Habiendo dado cuenta al Rey nuestro Señor de una exposición del in tendente y junta principal de Avila,en la que preguntaban cómo y en cuán ta parte debian comprenderse ó excluirse de la cont…</t>
  </si>
  <si>
    <t>…tario de Estado y del Despacho de Gracia y Justicia, comunicó al Con sejo por medio del Excmo. Sr. duque del Infantado, su presidente, la Real orden que dice asi: ,,Excmo. Sr : El Sr. Secretario del Despacho de Hacienda me dice en 2$ de Febrero último lo siguiente: A la Dirección del Crédito público digo con esta ¡fecha io siguiente v „ La Real cédula de 24 de Agosto de 1795 que esta blece el derecho de 15 por too sobre todos los bienes raíces y derechos que adquieren las ma…</t>
  </si>
  <si>
    <t>Haefelin</t>
  </si>
  <si>
    <t>…za. Se espera en esta capital i SS. MM. II. para el 15 ó 18 de Noviembre. El Emperador Alejandro no llegará hasta el 19. Escriben de Munich que el Gobierno bávaro ha reprendido al cardenal Haefelin con motivo de la nota singular que ha presentado al Papa , y qu¿ S. S. hizo publica juntamente con su última alocución al-sacro colegio. El car denal ha recibido orden para declarar -ai Papa que se excedió de sus pleno* poderes en la redacción de esta nota. A…</t>
  </si>
  <si>
    <t>Hagenmeister</t>
  </si>
  <si>
    <t>…entro en el puerto de S. Pedro yJS. Páblo la fragata llamada Kamschatka x mandada por Mr. Golownim, que viene de dar ia vuelta al mundo. Pocos días antes qué ella salió de Lima el capitán Hagenmeister con dos buques de la:compañía rusa americana, y sigue su viage fe lizmente. Escriben de Orenbourg que en el mes de Julio habían llegado unas gran des caravanas de Bucharest y de Casan con 380 camellos cargados de dife rentes mercaderías, la mayor parte de ell…</t>
  </si>
  <si>
    <t>Hall</t>
  </si>
  <si>
    <t>…adelante por la misma causa. : -h í r:o': , . ;// En el propio año la compañía moscovita envió'á Tomas Poole, que llegó á los 80o, y no pudo pasar de allí. Por el mismo tiempo el capitán Hall llegó hasta el paralelo de los 82o. -, En 1614 Roberto Fotherbye se halló detenido por los hielos en la; latitud de 79o. '• • - :■&gt; &lt; . .. 1: ,/ ; .&lt;•; ./. En 1615 R. Biiet y BaFfin llegaron también á los,-79D., y no pudieroh pa&gt;sar adelante. En el año siguie…</t>
  </si>
  <si>
    <t>Hall-pudo</t>
  </si>
  <si>
    <t>…hasta que al doblar la esquina del callejón de S. Martin se yió atajado por un nuevo tropel del populacho que le acosaba de cerca. C011 el auxilio de sir Henrique Bjackewoód y del capitán Hall-pudo meterse en* una tienda; y habiendo llegado luego algunos ministros de justicia, se dirigió escoltado por ellos á la casa del almirantazgo, donde despidió á los que le acompañaban, dándoles expresivas gracias por la atención de que habian usado. ídem 27. En el…</t>
  </si>
  <si>
    <t>Hamon, Juan</t>
  </si>
  <si>
    <t>Juan Hamon</t>
  </si>
  <si>
    <t>…q' %on por la observada aquel mismo diá, y en la longitud de 14o 26' oo/; al O de Cádiz. Probablemente esta piedra ó escollo es la misma que fue vista en 8 de Enero de 1733 por el capitán Juan Hamon, de Burdeos, y de que se habla en la página 236 del Derrotero de las costas de España en el Océano por D. Vicente Toñño, suponiéndola por latitud de 37o lo' 3o// , y en longitud O. de Cádiz 13o 22/ 30". En la Real capilla de Palacio se halla vacante la cuarta…</t>
  </si>
  <si>
    <t>Han</t>
  </si>
  <si>
    <t>…aga áabet ‘á Ifcs" fieles Híibitañtés de ést'áS ¿íoyincias.'* ‘ ; ^ ,,Dios &amp;c. Cuartel general de Valencia 19 de Abril' de 1&amp;18. = PabIo Morillo. í=Sr. D. Juan Bautista Pardo.” P. D. Han pasado por las. armas los rebeldes i cinco ('ficiáTes défbatalib’n de Kumáncia , y. á toáoslos sóldadósde éste ¿gérpo que íes' quedaron’después de Ja accion!de Ottiz. 1 v' 1 ' . ‘ ÍV;‘ ?! '..'¡e. ’f , .'rrrrjr. ?;•p°- Parte circunstanciado' del coinandante D.…</t>
  </si>
  <si>
    <t>Hardetnberg</t>
  </si>
  <si>
    <t>…res; pero no serán discutidos de un jnodo solemne y díÍ&gt;lómático. Los muchos consejeros y empleados que el príncipe Metteriiich ha levado á Francfort no irán todos á Aquisgran. El príncipe Hardetnberg ha manifestado al consejero Coeller su gran dis gusto por la indiscreción que ha cometido este escritor publicando su opinión acerca dé la partición de Alemania en dos monarquías. Se han hecho al gran duque de Badén propuestas muy ventajosas relativa mente á…</t>
  </si>
  <si>
    <t>Haro, Antonio López de</t>
  </si>
  <si>
    <t>Antonio López de Haro</t>
  </si>
  <si>
    <t>…que hace 20 años abandonó su casa y mari do con una partida del regimiento infantería, de la,Reina ,1 se servirá avisarlo en esta xorte á D. Cefenno Chacón, en Alcaraz al regidor D. Antonio López de Haro, y en Murcia á D. Nicolás Alcaina, también regidor de aquella ciudad. .. La riqueza de las naciones, nuevamente explicada con la doctrina de su mismo investigador. En la ciencia económica política, ésta ciencia tan necesaria á todas las naciones, y que se deb…</t>
  </si>
  <si>
    <t>Haro, Matías de</t>
  </si>
  <si>
    <t>Matías de Haro</t>
  </si>
  <si>
    <t>…o y el otro en el camino de S. Pedro: el pri-, mero de caber cuatro fanegas, y linda con la iglesia parroquial de la misma, y el se gundo de tres fanegas, que linda con tierras de D. Matías de Haro, y ambos tasados en 23400 rs. vn., á los que está hecha postura en 2G$,rs..á dinero efectivo, y seña lado su remate para el dia 30 del corriente en la audiencia del Sr. D. Manuel Josef Rubio, del Consejo de S. M., teniente de .corregidor de esta muy heroica v…</t>
  </si>
  <si>
    <t>Haro, Pedro Giménez de</t>
  </si>
  <si>
    <t>Pedro Giménez de Haro</t>
  </si>
  <si>
    <t>…s de Madrid t Manuel Revuelta. Sugetos que se hicieron acreedores d la medalla de honor. D. Manuel María Raíz, D. Antonio Barea, D. Domingo Rodríguez Car vajal, D. Josef Albarran, D. Pedro Giménez de Haro y D. Domingo Lama. Nota. Manuel Resuelta , Manuela Esperanza, Manuel Amador , Eugenia Alonso y María Gómez están declarados acreedores á ser admitidos en los establecimientos públicos y dé curación. A virtud de providencia del tribunal del Santo Oficio de Ja Inquisición de est…</t>
  </si>
  <si>
    <t>Haurie, Juan Carlos</t>
  </si>
  <si>
    <t>Juan Carlos Haurie</t>
  </si>
  <si>
    <t>…ré, de París, dejando expedita la entrada y venta de los de otros autores. En su consecuencia y por dirección del mismo Alegre se ha plantificado un alambique en las posesiones de D. Juan Carlos Haurie, vecino de Xeree de la Frontera; y sus ensayos, á presencia del corregidor y de una junta de hacendados, comerciantes é inteligentes en el ramo, han sido tan sa tisfactorios, que por testimonio dado en dicha ciudad en 2 do Junio de este año consta que los vin…</t>
  </si>
  <si>
    <t>He</t>
  </si>
  <si>
    <t>…Cambrils j 1 oficial., 2 sargentos, 30 cabos y soldados: Vüafortuñ, 1 sargento, 13 cabos y soldados: Vilaseca, 1 oficial, un sargento, 17 cabos y soldados: D. Francisco Cabrera , capitán He voluntarios de * Tarragona, inspector de estas partidas : el coronel D- (Josef: Sallent,. teniente ■ coronel agregado al regimiento infantería de Aragón, gefe de estos distritos. Sa lón , 1 oficial, 2 sargentos, 30 cabos y soldados: Tarragona, 1 oficial, 2 sa…</t>
  </si>
  <si>
    <t>Helm, Wenceslao</t>
  </si>
  <si>
    <t>Wenceslao Helm</t>
  </si>
  <si>
    <t>….................. . de su residencia, según de los ‘referidos áutós se 'deduce , son los que-siguen : Don Pedro Valenzuela en la Havana, D. Domingo Dettzel.cn la villa de Morson, Don Wenceslao Helm en 2a ciudad del Puerto de Sta. María, los Sres. Sam y Woll en; Augsburgo v los. Sres. Debo urge Hemiarios en París ,,D.Juan; Kladt en, Holanda* los Sres. Hermanos Duerne en Á'ugsburgo, y D. Andrés Gallarda, cuya vecindajj se ignora. ^ - ' Y ‘ , Por providenc…</t>
  </si>
  <si>
    <t>Henri, Joseí Francés</t>
  </si>
  <si>
    <t>Joseí Francés Henri</t>
  </si>
  <si>
    <t>…__ En consecuencia de aquélla se están presentando al indulto los rebeldes del dicho Coy oxquihui y las Mesas, en Nautla lo han hecho 30 y tantos, según me avisa desde Misantla el coronel D. Joseí Francés Henri*quez. Eñ vista del estado de dichos rebeldes les he dirigido un papel con una «carta , cuyas copias son adjuntas para el debido conocimiento de V. S. * es-</t>
  </si>
  <si>
    <t>Henriq.uez, Custodio</t>
  </si>
  <si>
    <t>Custodio Henriq.uez</t>
  </si>
  <si>
    <t>…para el efecto; en la inteligencia que desde hoy se admitirán las posturas que se hiciesen siendo arregladas á lo anteriormente prevenido, las que se deberán egecutar por mano de D. Custodio Henriq.uez ? escribano prin cipal del juzgado militar y de esta, comisión. = Gaspar Vigodet. Por el juzgado del Sr. D. Angel Fernandez de los Ríos, del Consejo de S. M., teniente primero de corregidor de esta muy heroica villa, y escribanía del número de D. Anselmo Ordo…</t>
  </si>
  <si>
    <t>Henriquez, Antonio Tenllado</t>
  </si>
  <si>
    <t>Antonio Tenllado Henriquez</t>
  </si>
  <si>
    <t>…Gil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premios expresados, y teniendo en consideración la na turaleza de los objetos que á cada cual se le confió, lo que los interesados lle vaban de discípulos del estab…</t>
  </si>
  <si>
    <t>Henriquez, Bartolomé</t>
  </si>
  <si>
    <t>Bartolomé Henriquez</t>
  </si>
  <si>
    <t>…férez de navio D. Pedro Fernando Tavira: los tenientes coroneles D. Juan Josef Campillo y D. Josef Alejandro: los capitanes graduados de tenientes coroneles D. Ra món de Amagada y D. Bartolomé Henriquez: los subtenientes D. Nicolás O ^res y Palafox y D. Ramón González: los subtenientes del Real cuerpo de artillería D. Josef Mogro y D. Santos Caravantes : el coronel de milicias Don Francisco González Palma: el capitán del Real cuerpo de ingenieros Don Francis…</t>
  </si>
  <si>
    <t>Hera, Antonio</t>
  </si>
  <si>
    <t>Antonio Hera</t>
  </si>
  <si>
    <t>…os la existen cia del citado D. Francisco, para proceder á lo que corresponda en caso de haber fallecido intestado ó de otra'forma, cuya noticia se dará en la ciudad de Pamplona i D. Antonio Hera, escribano Real y numeral de la corte mayor/del mismo reino, que sé halla encargado de la testamentaría. Breve idea de la navegación por el aire desde su origen hasta el presénte: un librito en 8.° Se da noticia en él de las principales subidas que se han ege…</t>
  </si>
  <si>
    <t>Heras, Francisco Fernandez de</t>
  </si>
  <si>
    <t>Francisco Fernandez de Heras</t>
  </si>
  <si>
    <t>…del expresado D. Fernando de Herrera Carreto, cuyo des pacho se recogió, y no resulta haberse devuelto. Y ahora últimamente, á instancia de los hijos y herederos de los precitados D. Francisco Fernandez de Heras y de Doña Manuela de Herrera Cajiga, he mandado que por retardado se haga saber á las personas que quedan designadas, y en el caso de haber fallecido todas ó algunas de ellas, á sus herederos y sucesores, el insinuado auto de traslado .de dicha liquida ción d…</t>
  </si>
  <si>
    <t>Heras, Francisco Josef Fernandez</t>
  </si>
  <si>
    <t>Francisco Josef Fernandez Heras</t>
  </si>
  <si>
    <t>…. Roque y D. Santiago de Herrera y Cevallos, habidos en su tercero y último matrimonio con Doña María de Cevallos; de la cual, en vista de la aprobación que ¿de ella &gt;se pidió por D. Francisco Josef Fernandez Heras, marido de la Doña Ma nuela.de Herrera Cajiga, vecinos del lugar de Caucedo en el valle de Camargo, se comunicó traslado á los interesados por auto de 25 de Noviembre de dicho año, que se hizo notorio á la Sra. Doña Ana María de Herrera Carreto yPalazuelos, v…</t>
  </si>
  <si>
    <t>Heredia, Josef López Fernandez de</t>
  </si>
  <si>
    <t>Josef López Fernandez de Heredia</t>
  </si>
  <si>
    <t>…Lizürdia, los Medinas, vecinos de la ciudad de Cartagena de Indias1, Di Ráinon !de Villalba, vecino de la . ciudad de Sangüesa, D.r Iñigo de Medina y Saavejlra, la villa de Buñol, D. Josef López Fernandez de Heredia, vecino de Calatáyud, Abad y cabildo parroquial de Segovia, D. Francisco de la Mata Linares, iglesia colegial de Escalona, capilla'dé nuestra Señora de Gracia de Madrid, arzobispo de Santiago, santos' lugares de Je-* rusalen, D. Pedro Josef d¡e Beri , vecino…</t>
  </si>
  <si>
    <t>Herme</t>
  </si>
  <si>
    <t>…xcmo. Sr. mariscal de campo D. Josef . de la Cruz.” 2.0 ,, Excmo. Sr.: Paso á manos de V. E. para su debido superior cono cimiento el parte original que me ha dirigido el teniente coronel D. Herme negildo Revuelta, comandante militar de Lagos, referiente á la expedición ’ que acaba de egeCutar una partida que despachó este gefe contra los rebeldes de la mesa de Santiago. ,, Dios guarde á V. E. muchos años. Guadalajara 16 de Diciembre de 1817. =Excmo. S…</t>
  </si>
  <si>
    <t>Hermosilh, Juan Martínez</t>
  </si>
  <si>
    <t>Juan Martínez Hermosilh</t>
  </si>
  <si>
    <t>…ón Elío. Para costear estos premios contribuyeron generosamente, el Excmo. Sr. arzobis po director con 3® rs. vn.: el limo. Sr. comisario general de Cruzada con 6600 rs. vn.; y el Sr. D. Juan Martínez Hermosilh con 180 rs. vn. Con cluido lo cual el señor vice director pronunció un discurso, en que daba las gracias á los señores concurrentes por su bondad en asistir; probando que como asunto mas interesante el de la instrucción de la juventud era el que la sociedad p…</t>
  </si>
  <si>
    <t>Hermosilla, Juan Martínez de</t>
  </si>
  <si>
    <t>Juan Martínez de Hermosilla</t>
  </si>
  <si>
    <t>…Para cos tear los premios expresados contribuyeron generosamente el Exorno. Sr. arzo bispo, director, con 3® rs. vn.; el Excmo. Sr. comisario general de Cruzada con 3700 rs., y el Sr. D. Juan Martínez de Hermosilla con 180 rs. vn. La concurrencia distinguida en ambos dias del clero, magistrados, varios generales , nobleza, comercio y otras clases honradas, causó la mayor satisfac ción á la sociedad, así por lo que autorizaban el acto como por la complacen cia que tan lu…</t>
  </si>
  <si>
    <t>Hernán, Nicolás</t>
  </si>
  <si>
    <t>Nicolás Hernán</t>
  </si>
  <si>
    <t>…el Rey nuestro Señor sigue tomando con provecho los baños. Hoy han cumplimentado á SS. MM. y A. D. .Juan Antonio Perez á nom bre de la villa de Azañon, provincia de Guadalajara, y D. Nicolás Hernán dez de Saúco, alcalde de Trillo, con su compañero y diputado. Madrid 2$ de Julio. Continuación de los partes insertos en las gacetas de Caracas (1). 3.0 Del comandante de S. Cdrlos al capitán general interino de Venezuela. ,,El capitán D. Miguel León , con fe…</t>
  </si>
  <si>
    <t>Hernández, Tiburcio</t>
  </si>
  <si>
    <t>Tiburcio Hernández</t>
  </si>
  <si>
    <t>…uerta , agustino calzado , y predicador de S. M. Se vende á 3 rs. jjea la librería de Castillo,;frente á las gradas de S. Felipe el Real. /’ Papel sobré mendigos, leído por el Dr. D. Tiburcio Hernández, censor de la Real sociedad económica matritense, en su junjj¡t ordinaria de 11 de Octubre de 1B.17, y mandado por acuerdo dé la misma imprimir y.circular á las demas del rei no. Sé vende á 2 rs. en las librerías de Perez y Sojo, calle de las Carretas, y en e…</t>
  </si>
  <si>
    <t>Herrainz, Atanasio</t>
  </si>
  <si>
    <t>Atanasio Herrainz</t>
  </si>
  <si>
    <t>…Madrid, calle de las Huertas, frente á la del Lobo, núm. 9, cuarto bajo; el de Trillo D» Josef María Brull, calle del Olivo bajo , cuarto 3.0, frente ála lotería ; el jde AIcantud D. Atanasio Herrainz en la villa de Gascueña; el de Alange D. Josef Alegre Galan en Almendralejo; el de Sotan de Cabras D. Josef López Menchero en esta corte, ?CaVia baja’, núm. 25, cuarto 2.°, hasta mediados de Mayo, que saldrá de aquí á su desfino; el de Ledesma D. Pablo Montes…</t>
  </si>
  <si>
    <t>Herranz, Diego Narciso</t>
  </si>
  <si>
    <t>Diego Narciso Herranz</t>
  </si>
  <si>
    <t>-1002 Hidalgo disertaron sobre ¿ cuáles son las ventajas que producirá la «clasificación de qna escuela , y como se pondrá en práctica ? El dia 28 de Octubre D. Diego Narciso Herranz y D. Josef Benito diser* taran sobre ¿cuántos son los métodos conocidos para la enseñanza de la lec tura , y cuál es el mas progresivo para un aula pública ? &gt; El dia 30 de Noviembre D. Francisco Pío Guzman y D. Basilio Mateo sobre los autores del arte de escribir, ¿cuál es el…</t>
  </si>
  <si>
    <t>Herrera, Ana María de</t>
  </si>
  <si>
    <t>Ana María de Herrera</t>
  </si>
  <si>
    <t>…o para que por retardado se hiciese saber el auto de traslado de dicha par tición, con el correspondiente emplazamiento, á los hijos y herederos de D. Josef Joaquín de la Puente y Doña Ana María de Herrera, que lo eran Doña Teresa de la Puente Herrera, casada con el Lie. D. Pablo Moreno del Olmo, vecinos de la ciudad de Bíírgos; á Doña María Antonia de la Puente Herrera, casada con Don Bernardo de Lienares, vecinos del lugar de Bezana,obispado de Santander; á D…</t>
  </si>
  <si>
    <t>Herrera, Antonio</t>
  </si>
  <si>
    <t>Antonio Herrera</t>
  </si>
  <si>
    <t>…ción de derechos de esta saludable y gustosa especie, con la lámina de su árbol; por D. Casimiro Ortega: un cuadernillo en 4.0 de marquilla. Se halla rá á 8 rs. en la droguería de D. Antonio Herrera, calle de Postas, donde igualmen*, te se despacha dicha pimienta de Tabasco de la mejor calidad. Desde que en el ano, de 1780 se publicó éste escrito de orden del Rey, se ha propagado felizmente por" todo el reino el conocimiento y uso de la malaguets, qué so…</t>
  </si>
  <si>
    <t>Herrera, Antonio María de</t>
  </si>
  <si>
    <t>Antonio María de Herrera</t>
  </si>
  <si>
    <t>…hice salir con toda precaución al capitán de realistas de la Piedad D. Francisco Ordiera, en com binación con el teniente de la misma clase de Teotihuacan, destacado en el arenal D. Antonio María de Herrera y de tropas de Cuernavaca, á cuyo co mandante oficié al intentopero ni siquiera rastros de semejantes ladrones en contraron en el parage queme indicaron ser su mansión fija, ni en los muchos montes comarcanos que recorrieron con toda prolijidad. Y lo particip…</t>
  </si>
  <si>
    <t>Herrera, Bernardino</t>
  </si>
  <si>
    <t>Bernardino Herrera</t>
  </si>
  <si>
    <t>…dos el de gratificar por exámenes públicos en-doctrina crisnana* y lectura de libros castellanos, al juicio de los socios natoscurasde Sari Andrés, S. Sebastian y S. Lorenzo , Dr. D. Bernardino Herrera, D. Matías Gutierrez y D. Lúeas Fuentes , á las niñas que manifestaron mas instrucción é inteligencia. Llegado el dia, todo se verificó á presencia de un numeroso concurso dé personas de ambos sexos y de todas clases ¿ que en unión de los; socios, y á presenc…</t>
  </si>
  <si>
    <t>Herrera, Francisco</t>
  </si>
  <si>
    <t>Francisco Herrera</t>
  </si>
  <si>
    <t>…odino y Muñoz, procurador de los Reales Consejos. t . . . ...... Se cita a los acreedores en la. testamentaría de Doña María de la Encarnación Ncstares y .Chapínj viuda que fue de.D. Francisco Herrera, para que concurran á la junta que ha .de celebrarse en la posada del Sr. D. Ángel Fernandez de los Ríos, teniente corregidor de esta muy heroica villa, en el día 13 de Junio próximo 4 las ocho. Eugenio Hurtado, músico profesor y escritor de libros de coro, e…</t>
  </si>
  <si>
    <t>Herrera, Guillermo</t>
  </si>
  <si>
    <t>Guillermo Herrera</t>
  </si>
  <si>
    <t>…r.- coroneí D. Carlos María Llórente.5’ Lista de los individuos que se hanpresentado con arpias y municiones Á indulto en Nautla el cita 20 de Enero corriente. El titulado capitán comandante Guillermo Herrera; teniente Anastasio Saucedo; soldados Ahtónio Sandria, Manuel García, Josef María Panamá* Josef Teresa Panamá , Juan Telesforo, Luis Panamá, Narciso Martínez, Juaii Antonio García, Salvador Ferrál, Antonio Vázquez, Hermenegildo Antonio¿ Gregorio Cruz, Josef M…</t>
  </si>
  <si>
    <t>Herrera, Juan Moreno y</t>
  </si>
  <si>
    <t>Juan Moreno y Herrera</t>
  </si>
  <si>
    <t>…. P. Fr. Fernando Cano, del orden de S. Fran cisco: para la dignidad de chantre de la santa iglesia metropolitana de Santa Fe á D. Antonio León y Acero: para la de maestrescuela á D. Juan Moreno y Herrera; y para la de tesorero á D. Plácido.Hernández Domínguez, va-' cantes todas estas dignidades por fallecimiento de los que las obtenían. Igualmente se ha servido S. M. conferir á D. Josef Rafael de los Santos la canongía que ha resultado vacante en la santa igl…</t>
  </si>
  <si>
    <t>Herrera, Roque de</t>
  </si>
  <si>
    <t>Roque de Herrera</t>
  </si>
  <si>
    <t>…edás en dicho valle de Camargo, á virtud del despacho que se libró con fecha 20 de Diciembre del propio año á instancia de la parte del Don Francisco Josef Fernandez de Horas y de D. Roque de Herrera, hijos y herederos del referido D. Fernando; y por providencia de 5 de Abril de 1796 se libró nueyo despacho para que por retardado se hiciese saber el auto de traslado de dicha par tición, con el correspondiente emplazamiento, á los hijos y herederos de D. J…</t>
  </si>
  <si>
    <t>Herrero, Manuel</t>
  </si>
  <si>
    <t>Manuel Herrero</t>
  </si>
  <si>
    <t>…ambién los vecinos principales dél pueblo capitán D. Francisco Delgado, teniente Don Luis.Vieira, administradorde correos D. Corneüo Roaro, D. Camilo Cama» cho, D. AntonioRecalde, D. Manuel Herrero * D. Juan Larrondo y D. Vicente. Arana, por la prontitud con que facilitaron sus sirvientes, armas y caballos. y, Dios guarde á vmdL muchos años. Acambaro Enero 19 de 1818. = Ramon García y Reguera.z=Sr. sargento mayor D. Josef de Castro ” • - S. E. en vísta,…</t>
  </si>
  <si>
    <t>Herreros, Angel Tomas</t>
  </si>
  <si>
    <t>Angel Tomas Herreros</t>
  </si>
  <si>
    <t>…a, su barrio del Hoyo y venta de Piqueras: su dotación son 7200 rs., pagados mensualmente por la justicia. Los pretendientes di rigirán sus memoriales al escribano de ayuntamiento D. Angel Tomas Herreros de' Tejada hasta el i.° de Abril. Quien quisiere hacer postura ál ganado lanar dél diezmo serrano, perteneciente á la dignidad episcopal y al venerable deán y cabildo de la santa iglesia dé Piasen-; cía , se apercibe su remate para el día 15 de Abril en el ar…</t>
  </si>
  <si>
    <t>Herreros, Juan Santoyo y</t>
  </si>
  <si>
    <t>Juan Santoyo y Herreros</t>
  </si>
  <si>
    <t>…Real permiso para poder usar de la condecoración de la flor de Lis con que se ha servido agraciarle S. M. Cristianísima. ■ _ &lt; • .... ■ ' i Asimismo se ha servido conceder S. M. á D. Juan Santoyo y Herreros, gobernador político de la villa de Avanilla, en el reino de Murcia, su Real permiso para que pueda usar la flor de Lis de Francia. El supremo Consejo de Hacienda en sala primera de Justicia por providencia de 3 de Enero ha acordado que D. Felipe Ramírez , D.…</t>
  </si>
  <si>
    <t>Herrezuelo, Casimiro</t>
  </si>
  <si>
    <t>Casimiro Herrezuelo</t>
  </si>
  <si>
    <t>alumnos bachilleres D. Félix de Federico, D. Casimiro Herrezuelo, D. Ma riano Gil Portillo, D. Mariano Josef González Crespo, D. Manuel Izcaray, D. Gonzalo López de la Torré, D. Josef María Rasco, D. Genaro González* D. Juan María Quevedo, D. Pedro Suarez, D. Antonio Tenllado Henriquez y el doctor en cirugía D. Josef Ramos…</t>
  </si>
  <si>
    <t>Hervás, Bernardo Josef de</t>
  </si>
  <si>
    <t>Bernardo Josef de Hervás</t>
  </si>
  <si>
    <t>…mona. 7336....................... . 1000 idem........7.. En Sevilla. ARTICULO DE OFICIO. El Rey nuestro Señor se ha servido promover al actual alcalde mayor de la villa de Arjona D. Bernardo Josef de Hervás á igual empleo de la de Carayaca, vacante por haber cumplido su sexenio D. Antonio Aniceto Sán chez , ambos en el territorio de Las Ordenes Militares.</t>
  </si>
  <si>
    <t>Hérvás, Bernardo Josef de</t>
  </si>
  <si>
    <t>Bernardo Josef de Hérvás</t>
  </si>
  <si>
    <t>…miento de D. Francisco Juan y Cantavilla para la de Ge rona, á D. Cristóbal González Doñelfo, y para la de Arjona , que está igual mente vacante por pTomocion á la de Cara vaca de D. Bernardo Josef de Hérvás:, á D. Diego Antonio Montero y Pelaez. ------------■ —— -i i- . - --------------------- 1 '■ ■ —■ ■- • ■ ■■ — ;---------------------- ■ *-r— — , La Dirección del Crédito público, en cumplimiento del Real decreto de 3 de Abril último, acordó que desde io del m…</t>
  </si>
  <si>
    <t>Hevia</t>
  </si>
  <si>
    <t>…lería D. Josef Obeira , y al sargento primero de Asturias D. JosefPoo y Lozana, á los cuales, como igualmente á los demas individuos que se halla ron en el sitio , y recomienda el coronel Hevia, les he concedido un escudo de distinción en campo azul con el lema: Por la toma de Palmillas* ,,En otros partes que se han recibido del mismo virey, y cuyas fechas alcanzan hasta el 31 de Julio último, dice entre otras cosas: que el brigadier D. Joaquín Arre…</t>
  </si>
  <si>
    <t>Hevia, Francisco de</t>
  </si>
  <si>
    <t>Francisco de Hevia</t>
  </si>
  <si>
    <t>…’ ,, Estoy muy satisfecho de la conducta del coronel Santa Marina en las operaciones del sitio, y de las medidas que tomó para él el comandante de las villas de Orizaba y Córdoba coronel D. Francisco de Hevia, como igual mente de ios oficiales y tropas que concurrieron á la empresa, y me apre suro á comunicarlo todo á V. E. en parte extraordinario, deseoso de que llegue con la posible anticipación á noticia del:Rey nuestro Señor, de cuya Real piedad espero se dign…</t>
  </si>
  <si>
    <t>Hgarte, Pedro María</t>
  </si>
  <si>
    <t>Pedro María Hgarte</t>
  </si>
  <si>
    <t>…Juan Postelli, el teniente D. Melchor Melcolalde y los subte nientes D. Ramón Canardo y D. Manuel Fernandez Parrado, muertos 1 el ca pitán E&gt;. Manuel Berdiales , el ayudante mayor D. Pedro María Hgarte, et segundo ayudante D. Miguel Francisco Soler , los tenientes IX Francisco de</t>
  </si>
  <si>
    <t>Hidal, Cristóbal Romero</t>
  </si>
  <si>
    <t>Cristóbal Romero Hidal</t>
  </si>
  <si>
    <t>…idades, que dirige el apreciable humanista D. Francisco Rodríguez García. Habían precedido á este lucidísimo certamen publico dos dias de exámenes secretos, en que los presbíteros D. Cristóbal Romero Hidal go , IX Juan Sánchez Barrancos y el censor D. Francisco Javier Moreno, asis tidos del catedrático, según previene la ordenanza del establecimiento, exa minadas con la mayor imparcialidad todas sus decurias, adjudicaron los pre mios á los mas beneméritos en ca…</t>
  </si>
  <si>
    <t>Hidalgo, Eustaquio</t>
  </si>
  <si>
    <t>Eustaquio Hidalgo</t>
  </si>
  <si>
    <t>…e en el egército, habiéndose señalado en los diferentes empeños que tuvo su regimiento. „ Asimismo recomiendo á la consideración de V. E. al capitán D. Josef Madera, los tenientes D. Eustaquio Hidalgo y D. Josef Aspiazu, y á ios subtenientes D. Josef Checa y Fuentes, D. Antonio García Liñan y D. Fe lipe Carrasco, todos del regimienro de Burgos, que fueron heridos; á los subtenientes del batallón de la Reina Doña Isabel D. Josef Masanes y Don Antonio Calderón, teniente del de…</t>
  </si>
  <si>
    <t>Hidalgo, Ramón</t>
  </si>
  <si>
    <t>Ramón Hidalgo</t>
  </si>
  <si>
    <t>…mado en su empleo de capitán , se le dio la ílobléza petsonal, y el grado de teniente co ronel en el batallón de Barinas dónde sirve. i •Milicias de pardos de Valencia. Capitanes: D. Ramón Hidalgo, D. Ca simiro Colon , D. Fermín Pedraza y D. Pedro María. Tenientes: D. Hilario Nogueras , D. Antonio Rodríguez y D. Josef Amador han sido confirmados en sus empleos, y obtenido la nobleza personal. '■ Capitanes de las guerrillas de Barinas. D. Francisco Xavi…</t>
  </si>
  <si>
    <t>Higueras, Manuel</t>
  </si>
  <si>
    <t>Manuel Higueras</t>
  </si>
  <si>
    <t>…ras el muy ilustre gobernador dió á cada uno su premio, la música cantó unas letrillas en honor de los premiados. Dió en fin las gracias al muy ilustre ayuntamiento y al auditorio D. Manuel Higueras. AL dia siguiente por la tarde el R. P. Fr. Pedro Gonzalo, maestro de la escuela de caridad del mismo convento de S. Francisco, presentó á exámenes en el mismo teatro á sus discípulos. Presidiólos el muy ilustre ayuntamiento,' manifestando de esta suerte su z…</t>
  </si>
  <si>
    <t>Hilaria, María</t>
  </si>
  <si>
    <t>María Hilaria</t>
  </si>
  <si>
    <t>…ín Almazan, teniente de corregidor de esta corte, se,cita y emplaza á Jas personas interesadas en.Jos bienes vacantes.por falle cimientocié D. Juan Evaristo Capistrano Lázaro y de Doña María Hilaria, su hija, mu ger que fue de 0. Antonio Rodríguez Vizoso, también difuntos, naturales el primero de la cuidad de Calatayud, en el reino de Aragón» y la segunda de esta corte, en la que fallecieron en 11 de Noviembre de 1807 y en 3 de Marzo de 1813^ ésta sin su…</t>
  </si>
  <si>
    <t>Hinojosa, Mariüel</t>
  </si>
  <si>
    <t>Mariüel Hinojosa</t>
  </si>
  <si>
    <t>cta^ de realistas de CHIcohtepec £&gt;. Mígtieí Torres y ¿e Mustian D. Mariüel Hinojosa , que pie á tierra franquearon y desembarazaron las veredas par* que pudiese transitar la tropa la misma noche que caminé para Sombrerete,y libertaron á varios soldados de fieles realistas dé Ixhiiatlan del caudaloso rio de Vinasco. ■ ' ‘ : / ,,El subteniente…</t>
  </si>
  <si>
    <t>Hinojpsa, Juan</t>
  </si>
  <si>
    <t>Juan Hinojpsa</t>
  </si>
  <si>
    <t>…re , titulado brigadier Magdaleno Me dina, alias el ¡Cojo, que se cogió vivo, habiendo sido muerto su teniente N. Nabor y el asistente ae este. En diferente punto se sorprendió al capitán Juan Hinojpsa y su abstente, de la gavilla de Pió González , y en otro se hicieron 3 prisioneros de la de Éstéban Borja. ,,En jtoda la correría se tomaron 1 fusil, 3 lanzas, i espada, 1 montura y como 30 caballos y yeguas. ,, Según el parte deí comandante son dignos de que…</t>
  </si>
  <si>
    <t>Hippesley</t>
  </si>
  <si>
    <t>…de Londres. El coronel Campbell, dd cuerpo de infantería, y todos sus oficiales han sido detenidos en la aduana de la isla de Wight. Se cree ccn fundamento que hayan naufragado el coronel Hippesley y su oficialidad, en razón de haber sufrido el mismo temporal que ocasionó el naufragio del Indiano. ' 1 . Los mas de los oficiales y aventureros que salieron para América en el barco los dos Amigos han vuelto de aquel país muy disgustados y desen—’ ganados e…</t>
  </si>
  <si>
    <t>Hislop, T.</t>
  </si>
  <si>
    <t>T. Hislop</t>
  </si>
  <si>
    <t>…en el cementerio de Villerik. GRAN BRETAÑA. Londres de Junio. La compañía de la India oriental ha recibido últimamente pliegos de áquel país , y entre éllós un parte del teniente general T. Hislop, relativo á la ba talla del 21 de Diciembre último, emque el egército de Hqlharta fue derro tado con pérdida de toda su artillería. Esta victoria ha tenido por resultado la entera sumisión de aquel gefe. Según una carta del gobernador de Bombay, de 14 de Ener…</t>
  </si>
  <si>
    <t>Hohencearth, Sigismundo de</t>
  </si>
  <si>
    <t>Sigismundo de Hohencearth</t>
  </si>
  <si>
    <t>ció. Ya hace días que fue cogido y ahorcado en Constántinopla un pariente^ de Catra-Mato, que cometía allí los mayores excesos. r El conde Sigismundo de Hohencearth, Príncipe arzobispo de esta capital, _■ á pesar dé su avanzada edad de 89 años, emprendió hace poco un' vía-~ gq sumamente penoso, qtie en parte ha tenido que haber á pie. Deseando es- 1 te digno prelado ver por ísus propios ojos cómo se distribuía el pastó e…</t>
  </si>
  <si>
    <t>Hom, Pedro</t>
  </si>
  <si>
    <t>Pedro Hom</t>
  </si>
  <si>
    <t>…e idioma mexicano, á D. Dímas Maldonado y á D. Josef Alarcon: la canongía lectoral de la santa iglesia catedral de Monterey, nuevo reino de León , á D. Josef Francisco Arroyo, y á-D. Pedro Hom bre ja canongía de esta iglesia vacante por ascenso de D. f Josef Vivero á la dignidad de chantre de la misma: la dignidad de tesorero de? la santa iglesia catedral de Arequipa, vacante por muerte de D. Juan de Unzas , á D. Juan de Dios Bülnes: la canongía qu…</t>
  </si>
  <si>
    <t>Horas, Francisco Josef Fernandez de</t>
  </si>
  <si>
    <t>Francisco Josef Fernandez de Horas</t>
  </si>
  <si>
    <t>…ente de la Peña, ve-, ciña del lugar de Muriedás en dicho valle de Camargo, á virtud del despacho que se libró con fecha 20 de Diciembre del propio año á instancia de la parte del Don Francisco Josef Fernandez de Horas y de D. Roque de Herrera, hijos y herederos del referido D. Fernando; y por providencia de 5 de Abril de 1796 se libró nueyo despacho para que por retardado se hiciese saber el auto de traslado de dicha par tición, con el correspondiente emplazamiento, á los…</t>
  </si>
  <si>
    <t>Horcaskas, Francisco de</t>
  </si>
  <si>
    <t>Francisco de Horcaskas</t>
  </si>
  <si>
    <t>…á D., Bernardo Asenjo, agente de negocios, que vive pla zuela del Clavel, junto á S. Martin, núm. 6, cuarto segundo, casa denominada de aposento, como apoderado general del Excmo. Sr. D. Francisco de Horcaskas, he redero de la referida Doña María Ana. D. Josef Julián de Donesteve, vecino de la villa de Marquina, en el señorío de Vizcaya,' falleció el día 23 de Agosto de este presente año, y ha dejado un legado para sus primos carnales de ambas líneas: los que tenga…</t>
  </si>
  <si>
    <t>Horta, Josef Hernández</t>
  </si>
  <si>
    <t>Josef Hernández Horta</t>
  </si>
  <si>
    <t>…Vasallo iD. Tomas Pónce 4 reales¿ D. Juan Campos 2 pesos, D. Juan Insua 2 , Don Francisco Rodríguez Mesa 2 * Sres. Perez y Chaves 4, D. Ramón Gutiér rez 6, D. Feliciano Borges 4, D. Josef Hernández Horta 4 , D. Matías Cas tro 4, D. Juan V ícente Perez 2, D. Antonio García 2 , D. Pedro Castillo 4, D. Josef Antonio Rasquin 5 , D. Francisco de Iturbe 10, D. Ramón de Azpurua 5 , Dv Miguel Rabelo Alcántara 16, D. Félix Domingo Martínez 2 , Don Juan: Esteban de dEe…</t>
  </si>
  <si>
    <t>Hourco, Juan de</t>
  </si>
  <si>
    <t>Juan de Hourco</t>
  </si>
  <si>
    <t>…efectos convenientes. Por providencia del Sr. D. Angel Fernandez de los Ríos, del Consejo de S. M., y teniente primero de corregidor de esta muy heroica villa, se cita yxmplaza á Don Juan de Hourco, vecino del lugar de Carabanchel de Abajo, contra quien pende cierta causa criminal, á que dentro de 20 dias, contados desde la fecha de este édic.tó, que por tres términos se le conceden, y el último perentorio, se presente en la Real cárcel de esta misma vi…</t>
  </si>
  <si>
    <t>Hualde, Guillermo</t>
  </si>
  <si>
    <t>Guillermo Hualde</t>
  </si>
  <si>
    <t>…deV^f ragua , presidente del supremo Consejo de Hacienda, grap cruz, de la Real ; distinguida orden de Carlos ni y de la auíeijc¡Bqa d? Isabel ja Católica; Dop Anselmo de Rívas y D. Guillermo Hualde; los consejeros de Estadolionora?rios D. Josef de Anduaga, caballerp grap cruz,de ja ¡de Caries -conde de Sta. Clara,, caballero gran cruz de la misma ó£d¡ep ;,y de Ja de San j Hermenegildo ; D. Pascual Valle jo, y D. Tomas £ par icíp Santí», colector ^genera…</t>
  </si>
  <si>
    <t>Hue, Francisco de Paula</t>
  </si>
  <si>
    <t>Francisco de Paula Hue</t>
  </si>
  <si>
    <t>…á D. Ignacio deGusseme^ para ia de oidor de la au diencia de Extremadura., que resulta vacante por promoción de D. Francisco Martínez de Galinsoga á plaza de alcaide de Corte., á D. Francisco de Paula Hue, alcalde del crimen mas antiguo de la propia audiencia ; para esta re sulta á D. Vicente Esteve: y para otra plaza del crimen de esta audiencia, que resulta vacante por muerte de D. Josef Olivas y Denia, á D. Fernando Josef de Toledo y el Corral; y para la pl…</t>
  </si>
  <si>
    <t>Huerta, Gerónimo Gómez de</t>
  </si>
  <si>
    <t>Gerónimo Gómez de Huerta</t>
  </si>
  <si>
    <t>…omé ÍrentaReal.una, Andrés=rLaguna,En de Nunez D. de Guzman, Francisco Sánchez, y D. Alfonso de Villegas: 15. Ñuño.Nuñez Rasura¿ Lain Calvo, Pedro Navarro, D. Juan Bautista Perez, D. Gerónimo Gómez de Huerta, y D. Gas par de Guzman y Pimentel. (Se continuara.') El Sr. D. Angel Fernandez de los Ríos, del.Consejo de S. M., teniente corre gidor de esta muy heroica villa, ha señalado el domingo 11 del corriente á las nue ve de su mañana , para celebrar junta general…</t>
  </si>
  <si>
    <t>Huesca, Alfonso</t>
  </si>
  <si>
    <t>Alfonso Huesca</t>
  </si>
  <si>
    <t>…nte D. Josef Gorro, y los subtenientes D. Antonio Sola* no y D. Josef Colmenero: los oficiales muertos del regimiento húsares de Fernando vn son el capitán D. Manuel Santander, el teniente D. Alfonso Huesca y el alférez D. Genaro Pañego. Fue muerto ademas el coronel co mandante de dragones de la Union D. Josef de Navas, que seguía en el cuar tel general. Los prisioneros que resultan lo fueron por haberse quedado atra sados y extraviados en la marcha durante la n…</t>
  </si>
  <si>
    <t>Huete, Andrés</t>
  </si>
  <si>
    <t>Andrés Huete</t>
  </si>
  <si>
    <t>…a, D. Luis de la Carrera y D. Ignacio Romero Pando; alféreces D. Apolinario Rodea y D. Miguel Rodríguez. De S. Luis: capitán graduado de teniente co ronel D. Anastasio Bustamante; capitán D. Andrés Huete; teniente D. Josef Gaitan; alféreces D. Juan Lesaca y D. Feliciano Guerra. De S. Carlos: ca pitán D. Domingo Ugarte; alféreces D. Cesáreo Medellin y D. Mariano Mondragon. Fieles de S. Luis: capitán graduado de teniente coronel D. Ni colás Zarzosa; teniente gr…</t>
  </si>
  <si>
    <t>Huidobro</t>
  </si>
  <si>
    <t>…. ; &lt; • . ¡ \ ,,Desde dicho puntóme comqnica su comandante militar, teniente coro nel D. Josef Urbano, que una partida del de igual clase D. Miguel Barragan aprehendió al titulado mariscal Huidobro, teniente coronel; Campuzaho, ca^ pitan Bolaños y otros; todo lo que pongo en él debido superior conocimiento de V. E. ínterin recibo les partes. ; , L ,• • •’ ,, Dios guarde ’á.V, E. muchos años. WJadolid A,bril ' 27 :jde¿ 1818. == Excmo. Sr. = Matías Martin…</t>
  </si>
  <si>
    <t>Hurtado, Ignacio</t>
  </si>
  <si>
    <t>Ignacio Hurtado</t>
  </si>
  <si>
    <t>…lamado Justó, que le encontró el año* 1814 en la quebrada de Apotó, perteneciente á la mina de oro nombrada Condoto , en la provincia de'Novita , dei gobierno de Chocó , propia de Don Ignacio Hurtado, el Cual lleno de los mas nobles sentimientos en favor de las ciencias naturales, le presentó el 10 de Octubre de 1816 al Excmo. Señó? D. Pablo Morillo, para que lo remitiese á S. M., y el general D. Pascual Enrile lo trajo á España con todo lo demas pertenec…</t>
  </si>
  <si>
    <t>Hurtado, Justo Rodríguez</t>
  </si>
  <si>
    <t>Justo Rodríguez Hurtado</t>
  </si>
  <si>
    <t>…dañotpara la de Siruela á D. Ramón Carvajal y Trejo:- para la de Casas de Bes á D. Francisco Sánchez Ferrer : para la de Bodonal á D. Ma nuel Arce y Revuelta: para la de Montoro á D. Justo Rodríguez Hurtado4; para la de. Constantina a D. Josef López Requena : para la de Alconchel á IX Juan Castillejo Navalon : para ia de Javaiquinro á IX Juan Ramón de Ibarra : para él corregimiento de Sétenil á D. Eufemia no María de Estrelle ra: para el de Zahara á D. Pascual E…</t>
  </si>
  <si>
    <t>I, Antonio</t>
  </si>
  <si>
    <t>Antonio I</t>
  </si>
  <si>
    <t>…ara ai teniente coronel de infantería D. Juan de Ariza: la primera ayudantía de Ceuta al capitán D. Miguel Ibañez, segun do ayudante de la misma plaza; y la segunda de la Coruña á D. Antonio I,opez, subteniente del regimiento dé infantería de Zamora. '-*• — ■»!'!'.« .................... ... mmm——m——^^—————i^ Continuación de las estampas que se hallan venales en la calcografía de la impren ta Real. En pliego de marca mayor. Ei dulce sueño de Jesús,…</t>
  </si>
  <si>
    <t>I, Genaro Martin y</t>
  </si>
  <si>
    <t>Genaro Martin y I</t>
  </si>
  <si>
    <t>…Josef Izturriz , que fue herido cargando al enemigo: al teniente» del mismo D. Angel Loño, que sufrió igual suerité: al ayudante graduado capitán D. Antonio López; á los tenientes D. Genaro Martin y I&gt;. Blas Ve" ga , y á los subtenientes D; Josef de la Callea D¿ Pedro Eernández y Don: Antonio Negra, que fueron los primeros en ocupar las posiciones del enemi"? go: al teniente coronel capitán Di Domingo* Antonio PcÉa, y al teniénte Don Josef María Martín, qu…</t>
  </si>
  <si>
    <t>I, Infante de Bspaüa</t>
  </si>
  <si>
    <t>Infante de Bspaüa I</t>
  </si>
  <si>
    <t>(t FRANCIA* Parts 16 de Abril. El día la por la tarde llegó á esta capital el Sermo. Sr. Infante de Bspaüa I&gt;. Francisco de Paula, quien después de haber cumplido con las visitas de etiqueta continua recibiendo los obsequios de las Personas Reales. Para pa sado mañana está S. A. convidado por Monsieur al almuerzo y cacería á ca ballo y por la noche á la tertulia en…</t>
  </si>
  <si>
    <t>I, Vicente Rolan y</t>
  </si>
  <si>
    <t>Vicente Rolan y I</t>
  </si>
  <si>
    <t>…ce/, y muy particularmente de ios car pitanes de realistas D. Epítacío Sánchez y de dragones de Sierragorda D. Juan Benito Fernandez , y á los tenientes deí regimiento de Zaragoza D. Vicente Rolan y I&gt;. Juan Ampudia, como asimismo el subteniente 0. Josef Tainoa, que con la mayor eficacia comunicó mis Órdenes, y el bizarro alférez deSíerragorda D. Dionisio Esquive!, los. sargentos de. Sierragorda Francisco Munguia</t>
  </si>
  <si>
    <t>Ibabe, Pedro Josef de</t>
  </si>
  <si>
    <t>Pedro Josef de Ibabe</t>
  </si>
  <si>
    <t>…es cita, llama y emplaza á lin de que den tro del indicado término concurran ante dicho señor alcalde, por la escribanía de provincia de D. Juan Antonio Diaz Noriega,.que despacha D. Pedro Josef de Ibabe, por sí ó por procurador conocido á legitimar sus personas y acciones para co brar la cuota correspondiente que le está señalado á cada interesado; apercibidos que de no hacerlo les parará el perjuicio que haya lugar. Elementos de fortificación, escritos en f…</t>
  </si>
  <si>
    <t>Ibabe, Pedro Josefa de</t>
  </si>
  <si>
    <t>Pedro Josefa de Ibabe</t>
  </si>
  <si>
    <t>…a ante el Sr. D. Juan Antonio González Carrillo, del Consejo Supremo de Castilla, juez comisionado, por la escri-; bánía de provincia de EX Juan Antonio Díaz Noriega, que despacha D. Pedro Josefa de Ibabe, que se le admitirá siendo arreglada; previniéndose que para su remate está señalado el dia 31 del corriente á las 11 en punto de su mañana en dicha escribanía. ; Quien quisiere comprar úna casa sita en el lugar de Foericarrál, y su calle que llaman de la Igl…</t>
  </si>
  <si>
    <t>Ibañez, Joaquín</t>
  </si>
  <si>
    <t>Joaquín Ibañez</t>
  </si>
  <si>
    <t>…calía de lo civil de la expresada audien cia que aquel deja á D. Diego Martin de Villodres: últimamente la asesoría del gobierno y presidencia de Goatemala, vacante por ascenso de D. Joaquín Ibañez á oidor de aquella audiencia, á D. Josef Martínez de la Pedrera. Resumen de las ultimas noticias de sanidad pública. En las provincias litorales de la península y sus islas adyacentes se goza una constante buena salud. ; En Tánger sigue la peste su curso ordi…</t>
  </si>
  <si>
    <t>Ibañéz, Miguel</t>
  </si>
  <si>
    <t>Miguel Ibañéz</t>
  </si>
  <si>
    <t>…o; ¡a sargentía ma yor de la plaza de Alicante^al teniente.corooej D. Francisco Federic , ca* pitan del regimiento infantería fijo de Ceuta: la ayudantía primera de la de Ceuta al capitán D. Miguel Ibañéz, ayudante segundo de la misma; y la segunda de la Coruña á O. Antonio López , subteniente del regimiento de in fantería de Zamor?. • 7- «-••• ‘ i . - - * ' : ; ! *J I . . \ / V i 'i . _ ’. '■ ; ; &gt; “_ ; , r; t ••, . -I Enterado el Rey de la habilítacion deT p…</t>
  </si>
  <si>
    <t>Ibañez, Miguel</t>
  </si>
  <si>
    <t>Miguel Ibañez</t>
  </si>
  <si>
    <t>…erno militar y político de la de Barcelona: Ja sargentía mayor de lá de v alencia de Alcántara ai teniente coronel de infantería D. Juan de Ariza: la primera ayudantía de Ceuta al capitán D. Miguel Ibañez, segun do ayudante de la misma plaza; y la segunda de la Coruña á D. Antonio I,opez, subteniente del regimiento dé infantería de Zamora. '-*• — ■»!'!'.« .................... ... mmm——m——^^—————i^ Continuación de las estampas que se hallan venales en la calcog…</t>
  </si>
  <si>
    <t>Ibaseta, Domingo Hilario de</t>
  </si>
  <si>
    <t>Domingo Hilario de Ibaseta</t>
  </si>
  <si>
    <t>…mor y lealtad que ha acreditado tener á su Real Persona y á la augusta casa de los Borbones. El Rey nuestro Señor se ha servido conceder honores de médico de su Real Cámara al Dr. D. Domingo Hilario de Ibaseta en atención á los distin guidos méritos que contrajo- en 25 años que sirvió en los hospitales militares, y á la prisión que sufrió en Francia por su constante adhesión á nuestro le-1 gítimo Soberano. , , : ■ 1 El Rey se ha servido señalar para la celebración…</t>
  </si>
  <si>
    <t>Ibjmez, Pedro Antonio- Bazo</t>
  </si>
  <si>
    <t>Pedro Antonio- Bazo Ibjmez</t>
  </si>
  <si>
    <t>…Josef de Arbízú , def Cónséjo de Sr. M., áTcalde- én su Real Casa y .Corte, y escribanía dfe ptóviii&gt;cía'‘tie'!p|!,i Garlos Rodríguezde Moya ,se halla radicada la testamentaría de D. Pedro Antonio- Bazo Ibjmez,».‘ve cino que fue de esta villa, y procurador de los RealeslConsejos^á lacualjirn com parecido varios acreedores; y á instancia cte M^rtm Pabio Bazó^^ Tbañei í yeciíio dé Laguna de Cameros, heredero de dicho ;D. Ppdró , y én Virtud de, providenciá del referi…</t>
  </si>
  <si>
    <t>ID</t>
  </si>
  <si>
    <t>…ncia esta Princesa será declarada Santa en el próximo consistorio. ESPAÑA. México 2$ de 'Noviembre. Continuación de los partes de Nueva-JE ¿pana. Oficio del brigadier y comandante general ID. Ciríaco de Llano. „Excmo. Sr.: Con fecha de 17 del corriente me dice desde Córdoba el brigadier D. Joaquín de Castillo y Bustamante lo que copio: „ Consecuente con el parte que di á V. S. el 14 del presente relativo á la prisión del coronel de rebeldes Ignac…</t>
  </si>
  <si>
    <t>…es ó patriotas que hubieren muerto en defensa dé la justa causa de la nación, ha cabido en suerte del primer extracto dé la dé este dia á Doña Carlota Gómez de la Serna, hija’ del brigadier ID. Gaspar; muerto en el campo del honor. ' ^ ARTICULO DB OFICIO. El Excmo. Sr. D. Juan Esteban Lozano de Torre*, consejero de Estado, y Secretario del Despacho’: universal de Gracia y Justicia de&gt;España é In dias , remitió al señor duque del Infantado , preside…</t>
  </si>
  <si>
    <t>Id, Josef</t>
  </si>
  <si>
    <t>Josef Id</t>
  </si>
  <si>
    <t>…. Benito Ojer y D. Domingo Ramírez. En la clase superior de latinidad obtuvo el premio primero D. Justo Pe rez; y el segundo D. Fermín Lasa, siendo meritorios D. Domingo Muguerza, D. Josef Id ion da, D. Francisco Goñi, D. Xavier Sanz López y Don Benito Munduate. Ultimamente en la clase de humanidades ó retorica logró el primer pre mio D. Marcos Velaz; y el segundo D. Romualdo Sasa, siendo merirorios D. Fausto Oráyen, D. Antonio Sanz López y D. Mar…</t>
  </si>
  <si>
    <t>Ifarnales, Josef Cayetano</t>
  </si>
  <si>
    <t>Josef Cayetano Ifarnales</t>
  </si>
  <si>
    <t>…ra su inteligencia , gobierno y cumplimiento en la partle qué le toca» Ma drid 1 5 de Febrero de 1818. El Rey nuestro Señor, én atención á los méritos y distinguidos servi cios de D. Josef Cayetano Ifarnales, se ha servido concederle la cruz super numeraria de la Real y distinguida orden española de Carlos 111. El Rey nuestro Señor, en vista de los felices resultados que ha tenido la aplicación que se ha hecho en los hospitales de esta corte del específico que pa…</t>
  </si>
  <si>
    <t>Ig</t>
  </si>
  <si>
    <t>…erado de los adelantamientos rápidof quehabianhecholo^jóvene^ alumnos dé los, estudios de matemáticas estable cidos hnjo su protección, y dirigidos por eb profesor de; las mismas ;D. Ig nacio Romaza , abordó celebrar un certamen público; en ta sala consistorial el dia 25 de M$rgoc.á la. hora de las siete de.su tarde, presidido por los se ñores alcalde mayor D. Domingo S. Martin y alcalde ordinario por el esta do noble D. Hemetérip Ibar Navar…</t>
  </si>
  <si>
    <t>Igna, Josef</t>
  </si>
  <si>
    <t>Josef Igna</t>
  </si>
  <si>
    <t>…^ t.V' VL Total fuerza de este distrito : 26 subalternos, 29 sargentos, 73 cabos y 395 soldados, y 71 de caballería. . . . Comandante general de este distrito el mariscal de campo D. Josef Igna cio Alvarez Campaña, segundo comandante general de esta provincia, mayor general del distrito. Notas. Del regimiento'de Valencia se situarán tres^ Compañías en Véger como puntó de reten, y deberáb cubrir los destacamentos de Barbate, Torre de Meca y cabo de T…</t>
  </si>
  <si>
    <t>Ignacio</t>
  </si>
  <si>
    <t>…llería de Granada, que resulta vacante por muerte de D. Josef Guillen de Toledo, á D. Manuel de Vilches, alcalde del crimen mas antiguo del mismo tribu nal ; y para esta resulta á D. Ignacio deGusseme^ para ia de oidor de la au diencia de Extremadura., que resulta vacante por promoción de D. Francisco Martínez de Galinsoga á plaza de alcaide de Corte., á D. Francisco de Paula Hue, alcalde del crimen mas antiguo de la propia audiencia ; para esta…</t>
  </si>
  <si>
    <t>…repartido porcibnl efe sus heridos; y tanto por lo que dice este indi viduo, como por las noticias, de varios confidentes del comandante de armas de la citada villa de, S, Miguel D. Ignacio deí Corral, es probable que tardé en reponerse el;cabecilla Vargas de la pérdida que tuvo su gavilla, la que si tuada á las orillas descamino dé esta villa á Queretaro perjudicaba totalmen te á los traficantes, y hacia dificultoso el paso; ,,Se ha conseguido…</t>
  </si>
  <si>
    <t>22$6 En virtud de providencia del Sr. Ó. Manuel Josef Rubio, del Consejó de S. M., teniente corregidor de esta muy heroica villa, se cita, llama y emplaza á D. Ignacio y D. Ramón del Oro f Paz, hermanos, cuyo paradero se ignora, como hijos y he rederos de Doña Francisca Javiera Paz y Tejada, vecina que fue de Madrid, y por fallecimiento de ellos á sus herederos sucesores en sus derechos, para que dentro de 15 dias, primeros siguientes ai 12 d…</t>
  </si>
  <si>
    <t>Ignacio, Josef</t>
  </si>
  <si>
    <t>Josef Ignacio</t>
  </si>
  <si>
    <t>…ía Antonia de la Puente Herrera, casada con Don Bernardo de Lienares, vecinos del lugar de Bezana,obispado de Santander; á Doña Bárbara Abarca, vecina de la misma ciudad, viuda de D. Josef Ignacio de la Puen te Herrera, como madre, tutora y curadora de Doña María Angela de la Puente Abarca, y D. Martin de Valdivieso Morquecho, vecino del lugar de Muriedás, viudo de Doña.Fermina de la Puente Herrera,y legítimo administrador de las per sonas de sus hijos…</t>
  </si>
  <si>
    <t>…do en aqdel corto espacio de tiempo la mayor parte de la guerrilla. ,, Dios guarde á vmd. muchos anos. Hacienda de la Gavia Marzo 16 dé 18 r8. = Ignacio de Miranda. = Sr. teniente coronel D. Josef Ignacio^ Ortiz de Rozas.’* El Excmo. Sr. virey, en vista del parte que antecede, ha dado las gracias al comandante y oficiales que concurrieron á dicha acción , y ha concedido ei grado inmediato en su clase al alférez de realistas D. Juan Ramírez. Idem 2 de Julio. CO…</t>
  </si>
  <si>
    <t>IgnacioPrie, D</t>
  </si>
  <si>
    <t>D IgnacioPrie</t>
  </si>
  <si>
    <t>…ente Yañez con su fuerza , y tomando la misma calle trató de reunirse, lo que^eiificq:rpvn\ñ^tdor el^fuegotpp/ ^ñn.bas partes, y forzando los parapetos enemigos. Visto esto por et teniente D IgnacioPrie to, que con los- aíféreces,,.I&gt;r' de la iGruz,iy;.1PvAgustijv Mpra jp 30 hombres ié había puesto al frente deL fortín del Calvario-, aued inmediata-</t>
  </si>
  <si>
    <t>Ignacv, Josef</t>
  </si>
  <si>
    <t>Josef Ignacv</t>
  </si>
  <si>
    <t>…la gaceta del Gobierno.; . El Rey nuestro Señor se ha servido conceder á'su ministro en Ja Real aífdienclá de Cataluña D. Joaquín López de Olivas, y al teniente coronel reti rado D. Josef Ignacv) de Mércader, maestrante de Ronda, el correspondiente Real permiso para el uso de la condecoración de lá flor de Lis, que han ob tenido de S., M. Cristianísima en consideración á su constante adhesión y amor á la augusta dinastía de Borbon. Igualmente se ha s…</t>
  </si>
  <si>
    <t>Ii, Félix</t>
  </si>
  <si>
    <t>Félix Ii</t>
  </si>
  <si>
    <t>…f Martínez. En la clase de rudimentos de latinidad gano el primer premio D. Josef Gorraiz, y el segundo D. Angel Isturiz; habiendo sido meritorios D. Josef Nuin, D. Manuel Arbide, D. Félix Ii*iarte y D. Cesáreo Sanz López. En la clase de sintaxis se adjudico el primer premio á D Eugenio Subi za; y el segundo áD. Antonio Iribertegui, siendo meritorios D. Carlos Zua^ ti, D. Benito Ojer y D. Domingo Ramírez. En la clase superior de latinidad obtuvo e…</t>
  </si>
  <si>
    <t>Iíugues</t>
  </si>
  <si>
    <t>…miasmas pestilenciales. Los barcos franceses que vienen de Terranova cargados de bacalao son visitados también por los argelinos. - 7* Un buque nombrado eiIndiano, mandado por el capitán Iíugues, par tió de la isla de Borbon el 4 de;Setiembre, y entró en el puerto de Marsella el 3 de este mes. No ha habido egem pío de una travesía tan corta y feliz. Las cartas que se han recibido de aquella colonia aseguran que el comercio se halla allí en la mayor p…</t>
  </si>
  <si>
    <t>Imáz, Josef</t>
  </si>
  <si>
    <t>Josef Imáz</t>
  </si>
  <si>
    <t>…ficar su restableciiiriento, he venido en exonerarle del cargo dé mi Secretario de Estado y del Despacho de Hacienda de España y de Indias; y quiero que le desempéñe interinamente D. Josef Imáz , ministro honorario de mi supremo Conséjo de Hacrífrida, y mi primer director general de todas Rentas. Tendreislo ¡entendido para su cumplimiento, y comunicarlo á quien corresponda. = Rubricado dé lá Real mano. Palacio 14 de Setiembre de 1818. = A D. Francis…</t>
  </si>
  <si>
    <t>In</t>
  </si>
  <si>
    <t>…n dejar de. tocar el suelo con los pies, y moviéndolos muy apriesa hace rodar la máquina. ESPAÑA. Madrid 2$ de Abril. v Con motivo de haber nombrado el Ret nuestro Señor al Sermo. Sr. In fante D. Carlos protector de la universidad de Santiago, diputó la misma una comisión para que en su nombre felicitase y diese gracias á SS. MM. y AA. , la que fue admitida á besar la Real mano en 27 de Marzo .último;'</t>
  </si>
  <si>
    <t>…es, propias á formar héroes, halle "V-. A. R. y S. algún Quintiiiano , Séneca, Condillac, Fenelon ó Bossuer^ áíqüien pueda fiar .la educación física , moral y literaria del Sermo. Sr. In fante D. Cárlos *; con que él cielo dias há bendijo vuestro feliz himeneo con S. A .R .la. Se rmá • Sra.Iuíánta Do ñafran cisca de Asís i Pues, la universidad</t>
  </si>
  <si>
    <t>…del corriente año, se mandó que los que se creyesen con derecho á varios vales reclamados por D. Cristóbal Gó mez-y Gííemés, tesorero receptor general del consejo de la suprema y general In quisición | acudiesen á dicho tribunal por sí ó por procurador, con poder bastante, «ftt el preciso y perentorio término de 20 dias, contados desde la publicación; y no habiéndolo egecutado, á instancia del citado tesorero se ha acordado por el mismo tribunal…</t>
  </si>
  <si>
    <t>…explicar lo que las artes de ben al Rey, según los adelantamientos que se han visto en el corto tiempo pa sado desde la restitución del1 Soberano á su trono, y ¿n el que lleva ei Sr. In fante D. Carlos de gefe principal de los estudios de nobles artes, demostrando que las dotaciones y recursos dispensados por S. M., y el impulso que dieron al zelo de sus ilustres individuos y profesores los soberanos decretos, cuyo cum plimiento procuró siem…</t>
  </si>
  <si>
    <t>Inarte, Martin</t>
  </si>
  <si>
    <t>Martin Inarte</t>
  </si>
  <si>
    <t>…de la alta protección que dispensa su Real munificencia á las artes , como de la so licitud paternal con que atiende al alivió dé los menesterosos. S. M. se ha servido conceder á D. Martin Inarte, fabricante de curtidos en la ciudad de VaiíUdolid, el privilegio de que pueda colocar sobre la puer ta de su fabrica el escudo de las armas Reales; del que ha de disfrutar mien tras se mantenga dicha fábrica en el estado floreciente en que hoy se halla , y c…</t>
  </si>
  <si>
    <t>Inchausti, Simón</t>
  </si>
  <si>
    <t>Simón Inchausti</t>
  </si>
  <si>
    <t>…anuel César ,y á Don Guillermo Larraganel accessit. Lectura : á D. Victoriano Pastor ., y á Don Pascuai Meñdive el accessit.-.Doctrina.cristiana:.a ÍX Josef'Antonio CabaJlero ,y á D. Simón Inchausti el accessit. Y concluida la distribución el mis mo corregidor en una corta arenga hizo pública la aceptación que al ilustre ayuntamiento le merecían asi el aprovechamiento de los alumnos tomo el mérito y ia eficacia dei director y profesores. Ultimamente se t…</t>
  </si>
  <si>
    <t>Inclan, Juan Miguel de</t>
  </si>
  <si>
    <t>Juan Miguel de Inclan</t>
  </si>
  <si>
    <t>…resenciar el examen de varios niños que están imponiéndose en los principios de aritmética y geometría de dibujantes, á cuyo áctó precedió un discurso que el director de esta sala D. Juan Miguel de Inclan dirigió á SS. MM., en que notando las utilidades y ventajas que proporcióná el estudio del dibujo y de las nobles artes á toda nación civilizada, y lá de^ cadencia y abaldono á que habían llegado de resultas de la invasión enemigé y guerra interior de la pení…</t>
  </si>
  <si>
    <t>Inclan, Juan Valdés</t>
  </si>
  <si>
    <t>Juan Valdés Inclan</t>
  </si>
  <si>
    <t>…ncia de Rey de la plaza, de. Barcelona al brigadier D. Francisco Mosteirin, barón de Biure, capitán de Reales Guardias de infantería Espa ñola: la de la plaza de Rosas al teniente coronel D. Juan Valdés Inclan, que servia igual empleo en la de Seu de Urgel; y la ayudantía del castillo de Monzon á D. Alonso Daza, subteniente del regimiento de infantería de Ceuta. Igualmente se ha servido S. M. conceder en América el gobierno y co mandancia general de la provincia de…</t>
  </si>
  <si>
    <t>Indarte, Josef Ignacio de</t>
  </si>
  <si>
    <t>Josef Ignacio de Indarte</t>
  </si>
  <si>
    <t>666 quez, dé los cinco gremios mayores, y de D. Josef Ignacio de Indarte, que son los de promover el comercio y la marina mercantil, facilitando la comu nicación directa entre aquellos remotos países y la metrópoli, se ha servido resolver, conformándose con el parecer del Consejo de Indias en consulta de 23 de Junio ultimo, que la…</t>
  </si>
  <si>
    <t>Ines, Juan de Dios Bu</t>
  </si>
  <si>
    <t>Juan de Dios Bu Ines</t>
  </si>
  <si>
    <t>…s des-calzas de México : para una canongía de la iglesia catedral de Arequipa , va cante por. promoción del Dr. D. Josef Sebastian de Goyeneche al obispado He la misma catedral, á D. Juan de Dios Bu Ines ; para la dignidad de chan tre de la iglesia catedral de la Paz á D. Josef Benito Romero Soriauo , ca* nónigo de la misma ; y para la resulta que quedó vagante á D. Luis Rodrí guez de Lema: para la primera de las dos medias raciones nuevamente au mentadas en…</t>
  </si>
  <si>
    <t>Infan</t>
  </si>
  <si>
    <t>…&amp;c.; dedicada al Excelen tísimo Sr. teniente! general conde de Guaqui* gentilhombre de cámara de S. M. con egereicio &amp;c., y presentada al Rey nuestro Señor y á S. A. R. el Sermo. Sr. Infan te D. Carlos. Esta obra, original desenvuelve todos los principios de la difícil ciencia -de la guerra, cpjoéando,cada uno en su propio lugar, y.en aquel grado necesario para su inteligencia; de modo que está al alcance de todos los militares. La benigna acog…</t>
  </si>
  <si>
    <t>Infante</t>
  </si>
  <si>
    <t>27</t>
  </si>
  <si>
    <t>…re aman te y clemente, os presenta una nueva época de paz, de dicha y de reconci liación. No ha podido menos, al ver el júbilo de los pueblos por su deseado enlacé y el del Sermo. Sr. Infante D. Cários , su augusto Hermano, de mirar al rededor de su trono, contemplar sus amados vasallos, y consagrar sus cuidados al alivio de todos y á la felicidad general. Ha visto los males que padecen sus hijos de América, y ha querido de una vez hacerlos desapare cer , y…</t>
  </si>
  <si>
    <t>…nero último , en que hace extensivo á estos dominios, con cuatro declaraciones especiales, el Real indulto concedido por el plausible motivo de su; matrimonio y el del Serení simo Sr. Infante D. Cárlos, yobedecídola con las ceremonias de estilo , acor daron unánimemente que se guarde, cumpla y egecute, haciendo las expli caciones siguientes para evitar toda duda ú oscuridad en el cuarto punto; que comprende á los reos de infidencia, y que se logre mas1 efic…</t>
  </si>
  <si>
    <t>…eñor, que estaba bien penetrado de su amor á la patria y á su Real fa milia, que le nombrase en 2 de Abril de 1808 gefe de la comitiva que acom pañó á su augusto Hermano el Sermo. Sr. Infante D. Carlos á las fronteras de Francia , lo cual le grangeó el odio de aquel usurpador, que por su decreto deL 12 de Noviembre de aquel año lo comprendió en el número de los 10 principa les proscritos, mandando que se secuestrasen sus estados. Ya entonces el duque de Híj…</t>
  </si>
  <si>
    <t>…enemigos dispersos hasta dos leguas. ,,Quedaron en el campo muertos mas de 30 enemigos, entre ellos el ayo* dante D. Juan Manuel Muguerza, de la Victoria, y secretario del bandido coronel Infante: este último se vió tan perseguido que dejó su caballo, y favorecido del monte se escapó con su trabuco en la mano , y poco menos le ha sucediio á Mauricio Ledesma, que era el segundo gefe. Por nuestra parte no hemos sufrido la menor perdida , mas que haber t…</t>
  </si>
  <si>
    <t>…erales celebradas por el Real y supremo Consejo de la Guerreen 16 de Diciembre de 1817 por los militares españoles difuntos, dijo en presencia del Rky nuestro. Señor y del. Sermo, Sr. Infante D. Cárlos el M. R. P. Mtro. Fr. Miguel Huerta , agustino calzado , y predicador de S. M. Se vende á 3 rs. jjea la librería de Castillo,;frente á las gradas de S. Felipe el Real. /’ Papel sobré mendigos, leído por el Dr. D. Tiburcio Hernández, censor de la Real sociedad…</t>
  </si>
  <si>
    <t>…a del Sr. D. Antonio Guillelmt, bri gadier de los Reales cgércitos, como encargado por, S. M. de la dirección y adminis tración de los bienes, rentas y derechos que gozó el Sermo. Sr. Infante D. Antonio Pascual (que en paz descanse), se cita, llama y emplaza á todos los actuales desco nocidos tenedores de los vales Reales siguientes: 33.de 4 300 pesos de la creación de Setiembre de 1808 , señalados con los números 27199, 27200 , 27522,27530, 29791, 29923, 29987, 304…</t>
  </si>
  <si>
    <t>…as oportuno? que poner esta Real academia y todos los establecimientos gratuitos de las nobles artes de España bajo la ilustrada dirección de su muy caro y amado Hermano el Sermo. Sr. Infante D. Carlos María, nombrándole gefe princi-</t>
  </si>
  <si>
    <t>…s qué se experimenta en nuestra juventud, desde que las ven protegidas por un Soberano magnánimo, promovedor generoso de las ciencias y artes, y puestas al cuidado de un dignísimo Sr. Infante, que en el corto espacio dé tré¡s años ha sabido proporcionarlas tan asombrosos adelan tamientos,! Sus prósperos resultados los percibiremos dentro de brevísimo tiempo, cuando sé vean corrientes por medio del dibujo dos verdaderos y abundantes manantiales de…</t>
  </si>
  <si>
    <t>…y nuestro Señor mandó que fuese trasladada á su Real palacio, en donde después de haber examinado por sí mismo, y en compañía de la Reina nuestra Señora y de SS. AA. RR. el Sermo. Sr. Infante y su augusta Esposa ¿ ;los 105 cajones en que venia cus todiada , mandó en ir de Octubre último que se pusiese todo á disposición del primer Secretario de Estado y del Despacho el Excmo. Sr. D. Josef Pizarro, para que como protector del Museo de Ciencias Natu…</t>
  </si>
  <si>
    <t>…, y por otra á las cargas que pesan sobre ella.” ESPAÑA. Madrid 27 de Abril. La academia de dibujo establecida en la calle de Fuencarral, que preside como gefe principal el Sermo. Sr. Infante D. Cárlos, tuvo el alto honor, al anochecer del día 7 del corriente , de que los Reyes nuestros Señores y los Scrmos Señores Infantes, fuesen á ver é inspeccionar por sí mismos el méto do de enseñanza, orden que se observa en dicho establecimiento, y los rápi dos progr…</t>
  </si>
  <si>
    <t>…y la de toda la Real Familia.” A LA SERENISIMA SEÑORA INFANTA DOÑA FRANCISCA DE ASIS. „Serma. Sra.: La universidad de Galicia, que se gloría en la protección de S. A. R. el Sermo. Sr. Infante D. Cárlos, vuestro amado y digno Espo so, faltaría á una de sus principales obligaciones si no lo hiciera presente á V. A. R. y S. como lo hace por medio de está comisión, la que puesta á Ids Reales pies de V. A. os tributa la mayor consideración, y suplica os dig neis…</t>
  </si>
  <si>
    <t>…o: este aren gó á SS. MM. y AA. en los términqs que manifiestan los siguientes, discursos, poniendo al mismo tiempo en la Real mano una vitela de gracias,. y otra en la del Sermo. Sr. Infante, que contiene el grado; de doctor en las cinco faeulr tades, ademas de las medallas acuñadas con el busto de S. A. como pro tector de aquélla Real universidad,á fin de premiar á los alumnos quemas se distinguen en los exámenes públicos de humanidades. ‘ ‘ ' A…</t>
  </si>
  <si>
    <t>…dado á al morzar y á cazar en compañía del duque de Berry, y á comer con el duque de Orleans. . ^ ^ - , . , El embajador duque de Fernan-Nunez, deseando obsequiar por su par te al Sr. Infante, ha creído oportuno convidarle á comer para el dia 21 , y que S. Á. convide también para esta comida á los referidos Príncipes y al duque de Angulema, á fin de que le acompañen, correspondiendo de este modo S, A. á sus finos obsequios. AFRICA. Tánger i&lt;T de A…</t>
  </si>
  <si>
    <t>…Lecciones .elementales de.química teórica y práctica para servir de base al cursO de las ciencias físico-químicas t establecido en el Real palacio bajo la dirección de S. A. S. el Sr. Infante D. Carlos: tomo 4.0 Se hallará con los anteriores en el despa cho de la imprenta Real. Continuación de las estampas que se hallan venales en la calcografía de la imprenta Real. En pliego de marca mayor. La caza del avestruz, por D. Blas Ametlier, á 40 rs.— La pesca del…</t>
  </si>
  <si>
    <t>…e las principales dificultades que tenia que vencer en la egecucion de su proyecto. ESPAÑA. Irun 4 de Mayo. El 2 del corriente á la una del día llegó á este pueblo S. A. Serma. el Sr. Infante D. Francisco de Paula, quien fue recibido en el desembarcadero del Bidasoa por el capitán general de estas provincias vascongadas con su estado mayor , una diputación de la provincia de Guipúzcoa, y otra de am bos cabildos de este pueblo. S. A. vino á pie desde el paseo de Beobia…</t>
  </si>
  <si>
    <t>…iento, y lo mismo á lps dragones leales que vienen &lt;ppr rGüigije y . Magda leño. Madrid 11de Mayo* ..... Anteayer ajas cuatro y media de la mañana salió, de ByitmgP el Serenísi mo Sr. Infante D. Francisco de Paula , y á las dp.ee y media de la misma llegó sin novedad al Real sitio del Pardo, ea donde Je esperaban los Reyes nuestros Señores y el Sermo. Sr. Infante D. Carlos con su augusta Esposa. Habiendo descansadoallí hasta las,cinco y media dp la pide, salieron SS. M…</t>
  </si>
  <si>
    <t>…v - r‘:" '■ El dia í.° de esté mes tuvo el Coiícéjb de laMestá la agradable sorpresa de ver en stí centró á nuestro muy amado Soberano, acompañadode su au gusto Hermano1 el Sermo. Sr. Infante D. Carlos, digno individuo dé esta corporación, del capitán de Guardias, y del conde de Canillas, su gentil hombre t í el gozo briliabaven el Semblante de lós leales'vasallos individuos de la junta, que experimentaban el ansiá con que S. M. tratáde fomentar ésta indust…</t>
  </si>
  <si>
    <t>…ue de Richelieu , el ministró de Pollera conde dre Cazes&gt; ios embajadores de Inglaterra, Ñapóles y Cerdeña, y los ministros de Austria, Prusiay Rusia y los Países Bajos. El Sermo. Sr. Infante í). Francisco de Paula brindó por la salud del Rey su tio, y Monsieur 16 hizo después por la salud del Soberano de España y por la de su augusto padre el Sr.r D. Carlos iv. Todos los ilustres convidados quedaron sumamente satisfechos , tanto de la esplendidez…</t>
  </si>
  <si>
    <t>…or Don Manuel de Valbuena. Al joven que sobre estos conocimientos reúna los ele mentales de historia sagrada j profana, las obras de Cayo Salustio Crispo^ traducidas por el Sermo. Sr. Infante D. Gabriel. Al rriafésrró de primeras letr s y latinidad en su respectiva escueta que presente mas número de alum nos instruidos en los ramos de su profesión, título de socio agregado, con arreglo á los estatutos, para que le sirva de recompensa de sus tareas, y de tgem…</t>
  </si>
  <si>
    <t>…uerra interior de la península, se tributaba á S. M. las alabanzas que me recía la soberana protección que ha dispensado á estos estudios por medio dé su augusto Hermano el Sermo. Sr. Infante D. Carlos, ya extendiendo su en señanza multiplicando sus escuelas, ya mejorando los métodos, ya honran^ do y distinguiendo á sus dignos profesores. Seguidamente pasaron SS. MM. y</t>
  </si>
  <si>
    <t>…a del señor brigadier de los Reales egércitos D; Antonio Guilielmi, como enf cargado por S. M. de la dirección y administración de los bienes, rentas y derechos que gozó el Sermo. Sr. Infante D. Antonio Pascual, que en paz descanse, sé cita’, llama y emplaza á todos los actuales tenedores de los 27 vales de 300 pesos, crea ción de Setiembre, señalados con los núrns. 24841, 25200, 26670, 27547, 27926, *7973» 293o8» 297^5» 3I2I3 * 3I2*4»3I244&gt; 3*2&lt;*9» 31749, 31905^ 32…</t>
  </si>
  <si>
    <t>…entísimo conde de Barbucena haciendo de alférez mayor con la bandera Real arrollada , y después el capitán de la guardia Real el Excmo. marques de Bellas. Seguíase luego el Sermo. Sr. Infante D. Miguel, descubierto, con el esto** que Real desenvainado en la mano como condestable. » El Sermo. Sr. Príncipe Real iba junto al Rey, cuya augusta presencia colmaba á todos de alegría. Iba S. M. adornado con el suntuoso manto Real todo recamado de oro, y asegurado c…</t>
  </si>
  <si>
    <t>…debía prestarse á S. M. Llegóse luego á hacer el juramento el Sermo. Sr. Príncipe Real ; y veri ficado , besó la mana al Rey nuestro Señor j y en seguida lo egecutó el Sere nísimo Sr. Infante D. Miguel. Desarrolló entonces el Excmo. alférez mayor la bandera Real; y habien do prestado el debido juramento los grandes, títulos, la demas nobleza, los tribunales &amp;c., el alférez may^or dijo en alta voz: Real9 real 9 real por el muy alto y muy poderoso Sr. Rey D.…</t>
  </si>
  <si>
    <t>…rias corporaciones, a la oficialidad dé su Real guardia, y ádiferentes personas distinguidas que Se babian féuiiído en ésta villa. ÍJ, f .. ;-'V- Idem lí. : ' SS. MM. y. el Sermó. Sr. Infante D. Francisco dé Paula han descansado de su yíáge , y cóntínuah sin la menor novedad en su importante salud. &gt; •'* xg de Julio. En la extracción de la primitiva lotería Real, egecutada en la tarde dé 'Madrid éste dia, há salido por él mismo orden con que aquí se anotan los…</t>
  </si>
  <si>
    <t>…el impulso que dieron al zelo de sus ilustres individuos y profesores los soberanos decretos, cuyo cum plimiento procuró siempre con esmero la benéfica y protectora presencia del Sr. Infante D. Carlos, excitando vehementemente la afición y desempeñó de los deberes académicos, fueron las causas que produjeron tan admirables efectos: que teniendo á la vista tan gratos egemplos, esperaba S. A. R. la Señora In fanta que las damas llamadas bajo la protección de…</t>
  </si>
  <si>
    <t>…a alentar á otros acalorados aven tureros que se están preparando para el mismo destino. ; ^ ,. ESPAÑA. : / Aranzueque 31 de Julio. . , 'Los Reyes nuestros Sres. y S. AV el Sermo. Sr. Infante D. Francisco do Paula llegaron aqui sin npvedad en la mañana de este dia de vuelta de Sacecfon para la corte: á la entrada del término de esta villa salió á cumplimen tar á SS. MM. y A. una diputación nombrada al efecto por su ayuntamiento, y á la entrada del pueblo precedía al co…</t>
  </si>
  <si>
    <t>…que el primero, colocado á la salida del pueblo; dejando a los vecinos con el sentimiento de haber disfrutado tan poco tiempo de la amable presencia de sus Soberanos y del Sermo. Sr. Infante. ' Madrid 5 de Agosto. ARTICULO DE OFICIO, &lt;•. El capitán general de Cataluña con fecha de 24 del anterior dice al Ex celentísimo Sr. primer Secretario de Estado y del Despacho lo siguiente: - •„ Excmo. Sr.: Habiéndoseme dado conocimiento por el ministerio de…</t>
  </si>
  <si>
    <t>…los fondos necesarios para su sólido, y permanente establecimiento, poniéndole bajo los auspicios y depen-s ciencia de la Real de S. Fernando , y la augusta protección del Sermo. Señor Infante D. Carlos. En su consecuencia, y hallándose ya provistas de sus cor respondientes profesores, en virtud de rigurosa oposición, las clases de mate máticas, dibujo, arquitectura y jnúsica, ha determinado la junta se celebre la apertura pública de los expresados estudios…</t>
  </si>
  <si>
    <t>…Tomas de esta corte la gracia de que todos los cursos, asi de filosofía como de teología escolástica y moral, ganados en él pasen en todas las universidades del reino, y el Sermo. Sr. Infante D. Gárlos María la de .declararse protector de,sus estudios; en cumplimiento de su insti tuto celebra la apertura de ellos en el gimnasio principal de teología el martes 15 dél corriente á las nueve de su mañana, en que pronunciará una oración’ latina inaugural el M. R. P. c…</t>
  </si>
  <si>
    <t>…na, conde de Sta. Coloma, conde de; Reola, vecino dé México, conde de Atarés; conde dé Bureta, marques del Rafal, marques de Villaverde, marques de Goyeneche, cóndé de Villamonte, Sr. Infante duque de Parma, casa de Fuen-Clara y Gerena,; testamentaría del Sr. Infante D. Luis, conde de Qasatagle, marques de Dos Aguas, vecino de Valencia, marques ¡de Cardona y Segorve, casas de los condes de Sautar,. D. Manuel dé Salas , al lugar de la Liseda, conve…</t>
  </si>
  <si>
    <t>…sta corte, como se anunció en la gaceta del mismo día, la apertura de sus estudios, a la que el Rey nuestro Señor tuvo la gran bondad de asistir acompañado de su hermano el Sermo. Sr. Infante D. Cárlos Mana , coma protector de dichos estudios , dándonos en este rasgo de hu¡rtianidad la prueba mas relevante de su infatigable zelo por la prosperidad de ias ciencias, y de su decidida adhesión á la sana doctrina del angélico doctor Sto. Tomas de Aquino. El numeroso…</t>
  </si>
  <si>
    <t>…puesta demanda de reclamación por el señor brigadier D. Antonio Guillelmi, encargado por S. M. de la dirección y administración de los bienes, rentas y derechos que gozo el Sermo. Sr. Infante D. Antonio Pascual (que en paz descanse), como pertenecientes á los que parece fueron sacados á la fuerza por el Gobierno intruso del tesorero de S. A. D. Felipe Baños, por quien resulta fueron endosados en 3 de Abril de 1809 al director de bienes nacionales, y desde este sigue…</t>
  </si>
  <si>
    <t>ioé¡6 S. A. R. el Duque de Calabria, que dio su consentimiento, con las expresiones mas propias de un buen padre, y en que mostró el mayor cariño háeia S. M. Católica y .el Sr. Infante, y el alto aprecio que, hace de la nación es pañola. El Sr. Embajador pidió á SS.AA. RR. períhisd-para presentar á la Pjrincesá^Doña Luisa Carlota el retrato y urfa Carta dé Sü ail^üstCf^Es^oso; y ha biendo venido á la sala la Princesa, S. E. le dirigió un br…</t>
  </si>
  <si>
    <t>…Salas, inquisidor general, obispo de Tarazona, y el limo. Sr. D. Eelipe de Montoya, obispo de Teruel. SS. MM. y AA. RR. asistieron á tan augusta función en sus tribunas. El Sermo. Sr. Infante D. Carlos María se dignó honrar á su maestro y confesor,. siendo su padrino secular personalmente, dando con este rasgo de piedad y de religión, y con otros de Real generosidad, el egemplq de un honor singularísimo heeho por los Príncipes católicos á la dignidad episcopal ,…</t>
  </si>
  <si>
    <t>…llería de esta ciudad, presidido por el Sr. D. Fernando María de Valdivia y Estrada* teniente de S. A. R., en cele bridad del plausible dia de su dignísimo hermano mayor el Sermo. Sr. Infante D. Carlos María Isidr.9, y en observancia de sus Reales ordenanzas, celebró con la mayor magnificencia y aparato su función de instituto., según la tenia de antemano acordado, con vistosas escaramuzas y Iancesi de carrillos, y ha biendo precedido un solemne Te Deitm en su mañana.…</t>
  </si>
  <si>
    <t>…resado. D. Narciso Montero pasó á las Américas el año de 1796, donde ha fallecido, dejando á su hijo D. Fernando en poder de D. Nicolás Ferrari, ayuda de cámara que era del Sermo. Sr. Infante D. Antonio; y teniendo dicho' D, Fernando derecho conocido á cierto mayorazgo que poseyó Doña Florentina Rodríguez de Ubierna, vecina que fue del lugar-de Huermeces, provincia de Burgos, se da este aviso para si existe que comparezca, ó persona á su nombre, en la librer…</t>
  </si>
  <si>
    <t>Infanzón, María'Trelles</t>
  </si>
  <si>
    <t>María'Trelles Infanzón</t>
  </si>
  <si>
    <t>…de la jurisdicción de Marina, en el puerto de Cudilleroy porque presentó una tela de lienzo fino de 70 varas, que acreditó haber hilado y-blanqueado después de tejida r 300' rs. á Doña María'Trelles Infanzón del concejo de Lena , por haber elaborado cuatro ar robas de almidón de patatas : 300 rsf-á Doña Manuela Ordoñez, del concejo de Aller , por haber presentado 24 pares de medias de lana del pais, justifi cando haberlas trabajado por sí misma, sin perjuicio de…</t>
  </si>
  <si>
    <t>Inquisición</t>
  </si>
  <si>
    <t>…ud de providencia del tribunal del Santo Oficio de la Inquisición de esta Corte, á instancia de D. Cristóbal Gómez y Giiemes, tesorero receptor general del Consejo de la suprema y general Inquisición , se cita, llama y emplaza á los que se crean con algún derecho á los vales siguientes: Cinco de óoo pesos de Enero, se ñalados con los húmeros 367072,363676, 364644, 372745 y 373107* Veinte y chairo de 300 pesos con la misma creación, números 125584, 121067*…</t>
  </si>
  <si>
    <t>…áuilf etiqueta dé estilo j yj como,Imiiúsfroí general ^defto^cHacórdefíi'dejmenores/de -S. Ffran cisco, el Riño. Pj .’Fr.Cfrilo’Álanjeda^deltConsejbH'decS. M. ext ef supremo de la general Inquisición., predicador del Rey nuestro;Señor, teólogo de nú mero en la Reai junta de la In maculadla Concepción &amp;c.; siendo su padrino el Excmo. Sr. marques de Valverde, condedeTof rejón; mayordomo ma yor la Reina nuestra Señora. . ;l : i : &gt;1 n El Rey nuestro Señor se…</t>
  </si>
  <si>
    <t>…o del corriente año, se mandó que los que se creyesen con derecho á varios vales reclamados por D. Cristóbal Gómez y Güemes, tesorero receptor general del Consejo de la supre ma y general Inquisición, acudiesen á dicho Santo Oficio por sí ó por procurador con poder bastante en los precisos términos de 20 y 15 dias que se concedieron; y no habiéndolo egecutado, á instancia del citado tesorero se ha acordado por el ex^presado Santo Oficio en providencia de…</t>
  </si>
  <si>
    <t>Insua, Juan</t>
  </si>
  <si>
    <t>Juan Insua</t>
  </si>
  <si>
    <t>…, D. Josef Baez 2 , D. Josef Arrese 4, D. Francisco-Ruz 1, D. Josef Manuel Chirinos 4 , D. Gerónimo Losada 3 , D. Rodulfo Vasallo iD. Tomas Pónce 4 reales¿ D. Juan Campos 2 pesos, D. Juan Insua 2 , Don Francisco Rodríguez Mesa 2 * Sres. Perez y Chaves 4, D. Ramón Gutiér rez 6, D. Feliciano Borges 4, D. Josef Hernández Horta 4 , D. Matías Cas tro 4, D. Juan V ícente Perez 2, D. Antonio García 2 , D. Pedro Castillo 4, D. Josef Antonio Rasquin 5 , D. F…</t>
  </si>
  <si>
    <t>Iriarte, Tomas de</t>
  </si>
  <si>
    <t>Tomas de Iriarte</t>
  </si>
  <si>
    <t>…zarras paradas lecciones de esta parte de enseñanza, que desempeñaron del mismo modo que las anteriores. Siguióse á esto la lectura de los instructores én eí libro de lecciones de D. Tomas de Iriarte, que Ies dio abierto el Excmo. Sr. cápitan general, y después en las del catecismo deFIeuri, con lo que ter minaron los egercicios acostumbrados de la mañana, cuya duración fue me nor'de la diaria , porque el tiempo'era mas limitado. Distribuyéronse los premi…</t>
  </si>
  <si>
    <t>Irrgo, Martin de</t>
  </si>
  <si>
    <t>Martin de Irrgo</t>
  </si>
  <si>
    <t>…J osef Pacanis y Nicolau 10, D. Juan Tomas Zaldarriaga 10} D. Josef Ignacio Tsquiagav 2o , D. Rafael Minteguiaga 15, D. Ramón Go mia 10, D. Josef Ramón Zozalla 2, D-&gt; Jaime Mas 8, D. Martin de Irrgo•yen 8 , D.; Juan:.Gcrd.il.' d, D¿ tMiguel Antonio Oyarzabal 6 , D. Joaquín/ Emazabei 4, D. Antonio Delgado 4 , D. Vicente.Sarria 4, D. Marcial Bei*7 mudez 4, D. Joaquín Reina y Capetilío 8, D. Francisco Espar 6, D. Fran cisco Ríos i , Sr. marques dy Mijares 2…</t>
  </si>
  <si>
    <t>Iruegas, Manuel de</t>
  </si>
  <si>
    <t>Manuel de Iruegas</t>
  </si>
  <si>
    <t>…ngo González Valdosera, ' Doña Manuela Martín Alonso, D. Manuel Rodríguez, D. Juan de las Fuentes, D. Julián de Arozarena, D. Manuel de Navacerrada, D. Lorenzo Tarsis y herma nos, D. Manuel de Iruegas, D. Josef Ignacio Gutiérrez, la casa de Iruegas y Gil, y D. Antonio Penaso, sus hijos, herederos ó sucesores, para que en el término de 30 dias, contados desde el 4 de Agosto del corriente año, se presenten por sí o por* medio de apoderado en la audiencia de…</t>
  </si>
  <si>
    <t>Irunciaga, Josef</t>
  </si>
  <si>
    <t>Josef Irunciaga</t>
  </si>
  <si>
    <t>…o ó mal herido..».Su muger Doña Rosa Ogara suplica á las personas que lo hayan conocido, y sepan la suerte que le cupo en dicha batalla, tengan la bondad de noticiarlo en Madrid á D. Josef Irunciaga, del comercio, calle Mayor, núm. 9, y en Bilbao á D. Juan Bulfi Mar tínez, también del comercio; y si después de dicha época lo hubiesen visto en Es paña ó Francia se servirán manifestar en qué pueblos y con qué empleo ó destino. Nociones de economía política…</t>
  </si>
  <si>
    <t>Isabel</t>
  </si>
  <si>
    <t>…caballero Fernán Gómez: un tomo en 8.° marquilla. _Claros varones de Castilla y letras de Fernando de Pulgar, consejero, secretario y coronista de los Reyes Católicos D.Fernando y Doña Isabel: un tomo en 8.° marquilla, á 20 rs. ambos á la rústica. — Breve compendio de los usos y costumbres de las dos re públicas romana y griega, muy útil para la inteligencia de los autores antiguos, par ticularmente de los poetas, sin cuyo auxilio será en vano tod…</t>
  </si>
  <si>
    <t>…,El egército continuó su marcha; acampó aquella noche eií el Hato de Mareano j y al otro dia alcanzó á Poríamar, habiendo entrado en seguida en Pampatar. „ El batallón de la Reina Doña Isabel estuvo durante la operación dé Juan Griego haciendo una diversión sobre la ciudad de la Asunción ; arrasó las vegas del valle de la Margarita y Paraguachi, habiendo quemado las trin cheras que tenian en el puerto del Tirano, de donde arrojo á los enemigos, ca…</t>
  </si>
  <si>
    <t>…del mi$mo; regimiento de Navarra D. Francisco Baból, el capitán graduado teniente de la compañía de cazadores de la Union D. Josef Andrade, y el teniente deL batallón de la Reina Doña Isabel D. Juan Bermudez. „ EL brigadier D. Josef Canterac, á la cabeza de las tropas de su división, se distinguió , como siempre, por su extraordinario valor y serenidad , ha biendo recibido una fuerte contusión en el hombro derecho. ,,También fue contuso en la cabeza el bizarro co…</t>
  </si>
  <si>
    <t>Isabel, María</t>
  </si>
  <si>
    <t>María Isabel</t>
  </si>
  <si>
    <t>…el Infante D. Francisco de Paula con la Princesa Doha Ltiísó'Catlótá, Hija del Duque de Calabria, Príncipe heredero de aquel reino r, y de rht muy cara y? ámada hermana la Infanta Doña María Isabel; y habiéiidó dado nuestros pié-* nos poderes para ajustar y , conclüít lás capitulaciones y Contrató; mátritúo-»* nía), se ha1 verificado con la mayor inteligencia y armonía de ambás parte» contratantes ; y consiguiente á él ¿y? previas las demás circtinítant…</t>
  </si>
  <si>
    <t>Isidro, Carlos María</t>
  </si>
  <si>
    <t>Carlos María Isidro</t>
  </si>
  <si>
    <t>…M. había nom brado como testigos y como asistentes á tan solemne acto. Reunidos todo|, . *e presentaron SS. MM. el Rey y Reina nuestros Señores acompañados de los Sermos. Infantes D. Carlos María Isidro, Doña María Francisca de Asís, su muy cara Esposa, y D. Francisco de Paula Antonio. Habiendo ocupado SS. MM. las sillas del solio, poniéndose detras y .de pie el mayordomo del .Rey .nuestro Señor, y el capitán de guardias de su Real Persona, los Sermos. Infan…</t>
  </si>
  <si>
    <t>Isidro, Juan</t>
  </si>
  <si>
    <t>Juan Isidro</t>
  </si>
  <si>
    <t>…¿Irmijo. ,, Excmó^ Sr. : Consecuente af parte que di á V. E. en oficio núm. 513, fecha 18 del corriente:, acompaño respetuosamente el detall que me ha dirigid® el teniente coroné!;D. Juan Isidro ae Marrón, relativo á la acción sostenida contra el apóstata clérigo Zavala en la altura del cerro del Aguacate, suscri biendo desdé luego á la recomendación que aquel gefe hace de los oficiales que sé distinguieron en ella, y ademas lo hago del mismo, cuya a…</t>
  </si>
  <si>
    <t>Israel</t>
  </si>
  <si>
    <t>…ígeciras de 75 toneladas , patron Morera, destinado pa ra Mahon ; pero detenido por el viento: muy sospechoso y temible. • 7.0 Un místico sin los palos puestos de 30 toneladas del señor Israel, de Tánger: su tripulación consiste de varios extrangeros que están en tierra: muy temible. 8.° Un falucho de 16 toneladas del señor Israel, está pronto para salir: tripulación como el otro: muy temible. ; 9.0 Otro falucho de 15 toneladas, del señor Israel :…</t>
  </si>
  <si>
    <t>Isturiz</t>
  </si>
  <si>
    <t>144</t>
  </si>
  <si>
    <t>…ó sobre 400 enemigos al mando de Julián Infante, que existía por aquellas cacerías robando y recogiendo bestias: la de Palmasola no encontró novedad: el 13 recibí aviso del citado capitán Isturiz, de que con 170 cazadores y un pe queño campo volante de caballería del país se hallaba en la Guásima, muy próximo á Palmarito; y que habiendo observado que los enemigos estaban pasando el rio, se disponía á seguirlos: á la misma hora dispuse pasase á es te p…</t>
  </si>
  <si>
    <t>…y como á poco tiempo se oyeron algunos tiros á vanguardia, y tuve un avi so casualmente de que Isturiz se estaba batiendo con los enemigos, me puse en marcha sobre Laguna Seca» El capitán Isturiz , que por una de sus parti das de observación había cogido dos vigías enemigos, que le anunciaron que aquellos estaban próximos á marchar, quiso no perder un momento en la in certidumbre que se hallaba de mi llegada, y atacó á los enemigos, que en número de 2…</t>
  </si>
  <si>
    <t>Isturiz, Angel</t>
  </si>
  <si>
    <t>Angel Isturiz</t>
  </si>
  <si>
    <t>…dos premios,, y tocó el primero á Ramón Ma ría Aldasoro, y el segundo á Josef Martínez. En la clase de rudimentos de latinidad gano el primer premio D. Josef Gorraiz, y el segundo D. Angel Isturiz; habiendo sido meritorios D. Josef Nuin, D. Manuel Arbide, D. Félix Ii*iarte y D. Cesáreo Sanz López. En la clase de sintaxis se adjudico el primer premio á D Eugenio Subi za; y el segundo áD. Antonio Iribertegui, siendo meritorios D. Carlos Zua^ ti, D. Benit…</t>
  </si>
  <si>
    <t>Isturiz, Josef</t>
  </si>
  <si>
    <t>Josef Isturiz</t>
  </si>
  <si>
    <t>…n á atacarlo. En el mismo momen to dirigí partidas de observación á reconocer sus fuerzas, y pasé orden al capitán de cazadores de Castilla, comandante accidental de dicho cuerpo, Don Josef Isturiz, que se hallaba enCamaragua, para que dejando cubierto aquel punto por los piquetes dé milicias y campos volantes, se dirigiese á este pue blo con la tropa de su cuerpo , poniéndose á retaguardia de los enemigos, si es que en efecto los que estaban por aquell…</t>
  </si>
  <si>
    <t>…0 húsares, á cuya cabeza me puse yo para atacar por el centro; y la otra , com puesta del resto dé cazadores de dicho batallón, 40 dragones y 30 húsares, la puse á las órdenes del capitán D. Josef Isturiz, que debía dirigirse circu lando un cugial á salir á la sabaneta donde se hallaban los enemigos; y por la izquierda hice marchar 50 lanceros de Barbacoas á las órdenes de su ca pitán Francisco Nuñez , que como baqueanos de aquel punto saliesen al ca mino por…</t>
  </si>
  <si>
    <t>Iturbe, Francisco de</t>
  </si>
  <si>
    <t>Francisco de Iturbe</t>
  </si>
  <si>
    <t>…r rez 6, D. Feliciano Borges 4, D. Josef Hernández Horta 4 , D. Matías Cas tro 4, D. Juan V ícente Perez 2, D. Antonio García 2 , D. Pedro Castillo 4, D. Josef Antonio Rasquin 5 , D. Francisco de Iturbe 10, D. Ramón de Azpurua 5 , Dv Miguel Rabelo Alcántara 16, D. Félix Domingo Martínez 2 , Don Juan: Esteban de dEehezuria 20, D. Bernardo Pénelas 20, T). Antonio Na;yarro 20, D. Josef Antonio y D. Manuel María Díaz 16 ¿ D. Agustín Espi no y D. Juan Ribero 20 ,…</t>
  </si>
  <si>
    <t>Iturburu, Joaquín</t>
  </si>
  <si>
    <t>Joaquín Iturburu</t>
  </si>
  <si>
    <t>…blas de la correspondencia de pesos y medidas de Castilla con las extrangeras, estas con las de Castilla, de las provincias del reino con las de Castilla, y de estas entre sí: por D. Joaquín Iturburu: obra útil para el uso de los jóvenes que se dedican al comercio .Se hallará en la librería de la viuda de Quiroga, calle de las Carretas, á 11 rs. en rustica y 13 en pasta; y en Cádiz en la de Ortal y compañía. Viage de un filósofo á Selenópolís, corte desco…</t>
  </si>
  <si>
    <t>Izaga, Santiago de</t>
  </si>
  <si>
    <t>Santiago de Izaga</t>
  </si>
  <si>
    <t>…tros D. Martinianó Gutiérrez dé Rozas y D. Lomáis Pardo como otros muchos señores del citado concurso. Los discípulos de gramática latina, cuya enseñanza está al cargo del rectoi* D. Santiago de Izaga , presbítero , y del repetidor D. Manuel Balugera, llena ron igualmente de una completa satisfacción á todos los concurrentes por ía prontitud , acierto y desembarazo con qüe eada úno en su respectiva clase dio pruebas de su aplicación y adelantamiento. En se…</t>
  </si>
  <si>
    <t>Izaguirre, Josef Sotero de</t>
  </si>
  <si>
    <t>Josef Sotero de Izaguirre</t>
  </si>
  <si>
    <t>…emiados en el dibujo dé estatúas D. Tófibio Lához; en el modelo D. Joaquín Exarque; en el dibujo de academias de figuras D. Joaquín Planillo; en el de cabezas DonEduardo* Vicente, D. Josef Sotero de Izaguirre,D. Mariano Larralde y Don Josef Santos; porque aunque no se ofreció sino una medalla, los directores los juzgaron dignos de esta recompensa, y la academia condescendió con su propuesta; En el dibujo’de principios se adjudicáronlos premiosa D. Joaquín Gironzá'…</t>
  </si>
  <si>
    <t>Izcaray, Manuel</t>
  </si>
  <si>
    <t>Manuel Izcaray</t>
  </si>
  <si>
    <t>alumnos bachilleres D. Félix de Federico, D. Casimiro Herrezuelo, D. Ma riano 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premios expresados, y…</t>
  </si>
  <si>
    <t>Izquier-, Elias</t>
  </si>
  <si>
    <t>Elias Izquier-</t>
  </si>
  <si>
    <t>…gan derecho á sus bienes, ó que tengan que oponer al privilegio que presentan los herederos del conde de Ambore,; para que dentro del término de un añp acudan por la escribanía de D. Elias Izquier-^ do y Payan á deducirlo con los documentos que lo comprueben; con prevención de que no presentándose les parará el perjuicio que en justicia haya lugar. Pascual Pertusa, natural de Villarobledo, provincia de la. Mancha, mariscal que fue de la segunda compañía…</t>
  </si>
  <si>
    <t>Izquierdo, Antonio María</t>
  </si>
  <si>
    <t>Antonio María Izquierdo</t>
  </si>
  <si>
    <t>…r á D. Bartolomé Mosquera la pla za de oidor de la Real audiencia del Cuzco, que se halla vacante por ascenso de D. Pedro Antonio Cernadas á regente de la de Santiago de Chile : á Don Antonio María Izquierdo, fiscal de lo civil de la de Quito, la plaza de oidor de la misma audiencia, declarada vacante por la imposibilidad de poder pasar ~á servirla D. Josef Rodríguez ; y la fiscalía de lo civil de la expresada audien cia que aquel deja á D. Diego Martin de Villod…</t>
  </si>
  <si>
    <t>Izturriz, Josef</t>
  </si>
  <si>
    <t>Josef Izturriz</t>
  </si>
  <si>
    <t>…aordinario comunicó mis* órdenes entre los fuegos del enemigo, habiendo estado ya en manos de estos1 por haberle muerto su caballo. Del regimiento de Castilla al teniente coronel? capitán D. Josef Izturriz , que fue herido cargando al enemigo: al teniente» del mismo D. Angel Loño, que sufrió igual suerité: al ayudante graduado capitán D. Antonio López; á los tenientes D. Genaro Martin y I&gt;. Blas Ve" ga , y á los subtenientes D; Josef de la Callea D¿ Pedro Eerná…</t>
  </si>
  <si>
    <t>J, Manuel</t>
  </si>
  <si>
    <t>Manuel J</t>
  </si>
  <si>
    <t>…o García; -en inteligencia que para el remate se'ha señalado el 21 del ‘Corriente, á la hora de las doce de su mañana, en una de las salas de señores alcaldes. Por providencia del Sr. D. Manuel J osef de Rubio, del Consejo de S. M., y te niente de corregidor de esta muy heroica villa, refrendada por su escribano del nú mero D. Jacinto Gaona y Loeches, se. ha señalado él dia 19 del presente en casa de S. S. y hora de las nueve de su mañana* para junta…</t>
  </si>
  <si>
    <t>Jábat-.M, Juan</t>
  </si>
  <si>
    <t>Juan Jábat-.M</t>
  </si>
  <si>
    <t>466</t>
  </si>
  <si>
    <t>…io de Levante,se imprima y publique también en la forma usual por la junta de Comercio y Moneda.' Dios guarde á V. S. muchos años. Madrid 16 deAbril de £818. s Josef Pi-^ sarro. = Sr. D. Juan Jábat-.M ; : * Y habiéndose publicado dicha Real orden-y-decreto adjunto á ella e»</t>
  </si>
  <si>
    <t>Jacinto, Antonio Abad</t>
  </si>
  <si>
    <t>Antonio Abad Jacinto</t>
  </si>
  <si>
    <t>…se presentaron d indulto en el punto de Nautla en los dias 16y 17 del mes de Enero último. De infantería. Los titulados capitán comandante Ensebio Luna, subte niente Víctor Muñoz, sargento Antonio Abad Jacinto. Soldados: Pedro Ferral, Josef de la Cruz, Pedro García, Francisco Ferral, Pablo Antonio Ferral, Josef Cándido Albino, Tomas Paulino ,, Manuel Antonio Alejandro, Josef Ma ría Luna, Francisco de los Santos, Casimiro Estéfano , Rafael Carpió, Antonio Tapia, Mar…</t>
  </si>
  <si>
    <t>Jackson</t>
  </si>
  <si>
    <t>…lemburg, el uno fue cogido por los indios, y del otro no se sabe el paradero:solo seis hombres han podido escaparse í nado de 50 que iban en una canoa. El 10 de Diciembre salió el general Jackson 1 socorrer al general Gaines. ... ■ - • T ... . Portsmouth 4 de Febrero. Reparada ya completamente de sus averías la escuadra rusa que se ha llaba anclada en este puerto, acaba de hacerse áTa vela en el diá de hoy para los de España con viento favoiable, y á…</t>
  </si>
  <si>
    <t>…io» , • ; En el periódico intitulado the Times se ha publicado el artículo siguien te , extractado de un diario anglo-americano que se publica en Miliedgevilie en la Georgia. ,,EI general Jackson al frente dé un regimiento de línea y de los volun tarios de Terence pasó el rio Apalachicola.el j de Mayo con dirección á Pamzácólá, adonde debió llegar el 20.. Probablemente se apoderará de aquella plaza, y dejará allí una guarnición suficiente para protege…</t>
  </si>
  <si>
    <t>Jaén, Mariano</t>
  </si>
  <si>
    <t>Mariano Jaén</t>
  </si>
  <si>
    <t>…uiente lema: Premio d la juventud aplicada. finalmente sé. distribuyeron á los examinados Don Juan Ximenez de Muñana, D. Rafael de Rovina, D. Francisco Díaz, Don Blas Ballesteros, D. Mariano Jaén y D. Benigno Perez; habiendo sentido mucho la junta no tener arbitrio para recompensar á los demás. Madrid 11 de Setiembre. A R T I C V 1- 0 Ef R Q F T Q I Q. El R^%' nuestro Señor,, que se desvela ¡por la felicidad y fomento de $ut&gt;</t>
  </si>
  <si>
    <t>Jaepbo</t>
  </si>
  <si>
    <t>…-eresa de Silva ^ falaíox &amp;c., dama de la Real orden de la Rein^ Ma/íg; Luisa.,, espQ$adel Exentar mar ques- do A riza y Estepa, sumiller^de, coy ps^ S*. ;Í4*» y- antes deVpxcjrm* Sr. Don Jaepbo. Eitz ¡ James- Stuard duque \MeryicL {y JÚriia Jimhos grandes de España. Lák; aiuablesí^prendas que concurrían, enc esta, señora* y. su* liberalidad con los conventos de religiosos, religiosas y pobres/de los* estados-de. sus dó$ esppsos&gt; de* los-de está cort…</t>
  </si>
  <si>
    <t>Jaime</t>
  </si>
  <si>
    <t>i 182 D. Jaime i hasta D. Carlos rv, y las labradas en el sitio- de Barcelona de 1652 con la inscripción: Barcino civitas obsessa, y las acuñadas en la úl-r tima revolución. . V» Sigue después, un catálogo de las labradas en varias ciudades y villas del principado r co»n. n…</t>
  </si>
  <si>
    <t>Jaime, Santiago Mariano</t>
  </si>
  <si>
    <t>Santiago Mariano Jaime</t>
  </si>
  <si>
    <t>…trasen la insinuada gracia, que se les concedió, habiendo contribui do también á este feliz resultado el cura de la referida ciudad de Tepic Don Agustín de la Pe ña, el presbítero D. Santiago Mariano Jaime y D. Ildefonso Rivas, en los términos que expresan ambos partes. „ Si, corno me persuado por los antecedentes que han intervenido, es ver* dadero el arrepentimiento de los mencionados indios, no deja de ser conve niente a] bien general que haya desaparecido esta atención. „ Yo re…</t>
  </si>
  <si>
    <t>James, Agiisrin</t>
  </si>
  <si>
    <t>Agiisrin James</t>
  </si>
  <si>
    <t>…la pérdida del enemigo en estos diás; pero sí asegurar á V. E* que ha sido excesiva, según la declaración de los prisioneros; la nuestra ha consistido solamente en la del capitañ D. Agiisrin James, herido, con 6 sol dados mas de diferentes cuerpos. Todos los geíes, oficiales y tropa que han hecho esta expedición han llenado su deber; pero las dos compañías de ca zadores de Extremadura y las de preferencia de Gerona,asi como la caba llería que dio la ca…</t>
  </si>
  <si>
    <t>Jane, Manuel</t>
  </si>
  <si>
    <t>Manuel Jane</t>
  </si>
  <si>
    <t>…Dr Carlos Es pinóla , y á D. Juan Poey el accessit. Lengua francesa ¡ á D. Giabricl Orbegozo , y á D. Luis Poey el accessit. Crramdtica castellana: á D. Joscf Ma ría Agu'irre, yá D. Manuel Jane el accessit.Dibitjo: á D. Juan Poey, y i D. Carlos Espinóla el áctessil. Escritura .* á í). Josef Manuel César ,y á Don Guillermo Larraganel accessit. Lectura : á D. Victoriano Pastor ., y á Don Pascuai Meñdive el accessit.-.Doctrina.cristiana:.a ÍX Josef'Ant…</t>
  </si>
  <si>
    <t>Jaso, Pedro</t>
  </si>
  <si>
    <t>Pedro Jaso</t>
  </si>
  <si>
    <t>…e inexpugnables, para las tropas del Rey no hay obstáculo alguno; En el momento dispuse que él teniente del batallón de Sto. Domingo D. Antónió Cosme, con él subte niente graduado D. Pedro Jaso, marchase con 20 cazadores y granaderos, y: atacase por el frente, y yo ton'el resto dé infantería y caballería desmonta da , con el teniente coronel graduado D. Juan Antonio de la Cueva , y el ca pitán de dragones de España D. Juan Díaz, me dirigí á flanquea…</t>
  </si>
  <si>
    <t>Jaufegüi, Ignacio de</t>
  </si>
  <si>
    <t>Ignacio de Jaufegüi</t>
  </si>
  <si>
    <t>…Real estudio, .establecido á éste fin pórelREY nuestro Señor en esta corte bajo la dirección del primer médico de.Cámara de S. Jíf.¿ Reina nuestra Señora y Sermos. Sres. Infantes D. Ignacio de Jaufegüi. Leerá aquel día á las 10 de la mañana una oración inaugural en castellano el cate drático del establecimiento D. Hilario Torres, médico de Cámara de número, examinador de medicina fjtc.. Este mismo profesor explicará durante, el'curso» las enfermedades aguda…</t>
  </si>
  <si>
    <t>Jáuregui, Ignacio de</t>
  </si>
  <si>
    <t>Ignacio de Jáuregui</t>
  </si>
  <si>
    <t>…El Rey nuestro Señor se ha servido conferir á su segundo médico de Cá mara con egercício D. Vicente Martínez la plaza de primero,, que ha resulta do vacante por. fallecimiento de,D. Ignacio de Jáuregui, con l£ dotación y en los mismos términos que la obtuvo este., 4 . . En virtud de Real orden se vende á publica subasta una hacienda propiq de S. M., situada en la jurisdicción de la villa de Hellin de dicha provincia, compuesta de 425$ tahullas de tierra rie…</t>
  </si>
  <si>
    <t>Jáuregui, Josef Andrés de</t>
  </si>
  <si>
    <t>Josef Andrés de Jáuregui</t>
  </si>
  <si>
    <t>…, sargentos y cabos que concurrieron d las expedi ciones que refieren los partes anteriores. De la primera división de milicias de la costa del Norte. El teniente coronel graduado D. Josef Andrés de Jáuregui, capitán graduado D. Antonio Chirinos, subteniente D. Pedro Díaz "Villa, sargentos primeros distinguidos D. Felipe Ponz y D. Francisco Loide, sargento primero Juan Josef Ramos* ídem segundos Josef de Sosa y Pedro de la Parra, cabos primeros Josef Ig-r dichona…</t>
  </si>
  <si>
    <t>Jáuregui, Josef-Andrés de</t>
  </si>
  <si>
    <t>Josef-Andrés de Jáuregui</t>
  </si>
  <si>
    <t>…ante insurrección’: con*fódóTa justicíame exige recomendar,' cpínó ,1q hago'muy particularmente á la Consideración de V. E. para la gvancía que se digne dispensarles , al teniente coronel D. Josef-Andrés de Jáuregui, y5á todos lós 'oficiales de la sección dé -Tampico , ’qué este géfeme recomien da-en su citado adjunto parte ; ai capitán D. Pedro Blasco ,\tenientes'D.' Jo-sef Llórente y D. Jósef Miguel; Fernandez, y subteniente fD. Marcos- Domin-i guez, de lá división dé…</t>
  </si>
  <si>
    <t>Jáuregui, Tgnacid</t>
  </si>
  <si>
    <t>Tgnacid Jáuregui</t>
  </si>
  <si>
    <t>…go de Urquiza, D. Francisco García, D. Antonio Castro, D. Josef Belda, D. Jo sef Casado, y D. Luis Cifuentes, oyente. u ó Los examinadores nombrados por S. Ar R. fueron los1 Srés. D. Tgnacid Jáuregui, primer médico de CámaradeS.M.; D. «Agustín Mestre * boticario! mayor; D. Andrés Alcon, catedrático, de química del Real colegio.de Far^ macia, y D. Agustín Lar i ca , capellán de honor de S. M. ' ^ • .7 : " _ i —’- - ' ' " «" !■ ’ ' .. •' ' i ¡ ~ -i-iii. ART…</t>
  </si>
  <si>
    <t>JBracho, Rafael</t>
  </si>
  <si>
    <t>Rafael JBracho</t>
  </si>
  <si>
    <t>…ilao. „Dios guarde á V. E. muchos años. Irapuato Octubre 28 de 1817 á las seis y media de la mañana. =Excmo. Sr.=Juan de Pesquera. =Excmo. Sr. D. Juan Ruiz de Apodaca.” Partes del coronel D. Rafael JBracho. i.° ,,Excmo. Sr.: En este mismo momento, que son las nueve del dia, acabó de recibir por un correo escotero el adjunto pequeño pliego del coro nel D. Francisco de Orrantía, que sin pérdida de tiempo remito á V. E., persuadiéndome que contendrá la interesante…</t>
  </si>
  <si>
    <t>JCruseitiarít</t>
  </si>
  <si>
    <t>…dén á la Noruega. . . ^uremberg 21 de Setienjbre. Se dice que Mr. Bplow, ministro de Hacienda de Prusia, irá á. Viena en calidad de ministro plenipotenciario de $u corte, y que.el general JCruseitiarít, que en el dia egerce,allí las funp\ornes dé tal, pasará á Londres á desempeñar él mismo encargo; lo cual, si,es cierto, no podrá ya:;diú3arse dé ;lá rétiráda de Mr. Humboldt. Por cartas de Saxonia se sabe que .ademas de la .secta fanática de los par tidarios…</t>
  </si>
  <si>
    <t>JD</t>
  </si>
  <si>
    <t>…ra división , que á da cabeza de eiU fu¡e el que atacó, y se apoderó de todas las baterías y fuertes que en U playa y en el cerro tenían los rebeldes. &gt; „Mis ayudantes de campo el coronel JD. Manuel Vmaviceocio y teniente coronel I&gt;. León Ortega se han señalado por el valor y serenidad que les dis tingue , acudiendo con ja mayojr rapidez á los parages de mayor riesgo don de era preciso comunicar alguna orden, * „ JLgs coroneles. D. Juan Francisco…</t>
  </si>
  <si>
    <t>…ada, querrán la mitad de las que están aquí de guarnición. ESPAÑA. / * 1 • ■ ■ - * 'México .1 y de Noviembre. Continuación de los partes rendí idos di Exento. Sr. virey. _ i.° Del brigadier JD. Ciríaco de Llano. „Xxcmo. Sr. : En oficio número 40 de 4 del corriente me dice desde Tecsitlan el teniente coronel D. Juan de Ateaga lo que sigue: „ Dirijo á V. S. por duplicado el parte que con fecha 18 de/Octubre úl timo di desde el trapiche de Topila sobr…</t>
  </si>
  <si>
    <t>…tes y 20 caballos. i ,,Dios guarde á V. E. muchos años. Guadalajara 5 de Noviembre de 1817. = Excmo. Sr. = Josef de la Cruz. = Excmo. Sr. virey D. Juan Ruiz de Apodaca.” Parte del comandante JD. .Anastasio JBrizuela que se cita en el anterior. • ,,Excmo. Sr.: Acaba de llegar el teniente de realistas D. Feliciano Avalos, que salió hoy á las ocho de la mañana del sitio del fuerte de S. Grego rio, y ha logrado coger en el camino jo rebeldes, que fusiló…</t>
  </si>
  <si>
    <t>…'guarde á V. S. muchos años. Campamento en el pueblo nuevo de Tepecintla Enero 29 de 1818. =Cár los María Llórente. = Sr. brigadier y co mandante D. Diego García Conde. Lar te del capitán JD. Ledro Antonio Blasco. ,, Hace cuatro dias aseguré á V. S. no seria solo el fruto de sus medita ciones la reducción al indulto del cantón de Soltero: asi es efectivamente., Los cabecillas Guillermo Herrera y Anastasio Saucedo, de los rebeldes de la Mesa,, se…</t>
  </si>
  <si>
    <t>…V. E. ,, Diós guarde á/V. E. muchos años. Chilpancingo Febrero 23 de 1818.= Excmo. Sr. = Josef Gabriel de Armijo. = Excmo. Sr. virey D. Juan Ruiz de Apodaca.” 'Parte del teniente coronel JD. Juan Isidro de Marrón. 1 ,, Desde el dia quétuVe.iióticia- de que el rebelde Pabló Campos había sor prendido á 13 hombres de esta sección en- las orillas de S. Cristóbal, como no ticié á V.S., me propuse no dormir ni descansar hasta destruir á este trai dor…</t>
  </si>
  <si>
    <t>…ido. , *, Píos guardeá V. E. muchos años. Chilpáncingo 23 deiFebrero de 1818;== Excmo. Sr.=Josef Gabriel de Armijo. = Excmo. Sr. virey D. Juan Ruiz dé Apodaca.” Parte del teniente coronel JD. Juan Isidro de Marrón. ;.f!i.,,,Xas armas de nuestro-Soberano, siempre victoriosas y manejadas; por lo® valientes oficiales y .dragones que tengo la gloria de mandar, dan una rele^amé prueba de que. ellas, .solas ‘serán capaces de. la reconquista de este tef…</t>
  </si>
  <si>
    <t>…e tenga á bien V.E. concederles. ,,Dios guarde á V. E. muchos años. Valladolid Enero 23 de 1818.= Excmo. Sr.=Josefde Castro. = Excmo. Sr. virey D. Juan Ruiz de Apodaca.” Parte del comandante JD. Ramón Reguera, ,,En la madrugada del 17 del corriente robo una gavilla de rebeldes de Ja hacienda de S. Cristóbal una punta de ganado. En el momento que lo supo el teniente D. Agustín González, comandante del destacamento de la Trinidad, salió en su busca; y…</t>
  </si>
  <si>
    <t>…rde á V. E. muchos años. Arizpe Febrero 18 de 1818. = Éxcelentísimo Sr. = Antonio Cordero.=Excmo. Sr. virey D. Juan Ruiz de Apodaca." ZACATECAS. Oficios del brigadier y comandante general JD . Josef de Gayangos. i.° ,, Excmo. Sr.: Tendrá por mi parte el puntual y debido cumplimiento la superior orden de V. E. de 21 del próximo pasado Marzo relativa al par te semanario de las novedades que ocurran en esta provincia de mi cargo que he de dirigir á…</t>
  </si>
  <si>
    <t>…e los partes de Nueva-España. ' SAN LUIS POTOSI. El comandante general brigadier D. Manuel María de Torres Valdivia ha remitido al Excmo. Sr. virey el siguiente parte del teniente coronel JD. Gregorio de Arana. ,, Después de haber conferenciado con eí coronel D. Francisco de Orrantía, como manifesté á V. S. por mi oficio num. 14 de 18 del corriente, salí el 19 por la mañana del pueblo de Dolores, unido con la sección del teniente coronal D. Froil…</t>
  </si>
  <si>
    <t>…,,Dios guarde á V. E. muchos años. Maravatio Mayo 28 de 1818.= Éxcmó. Sr. = Pio María Ruiz. = Excmo. Sr. virey D. Juan Ruiz de Apodaca.’* ZACUALPAN. Oficio del teniente coronel y comandante JD. Mateo Quilty. „ Excmo. Sr.: No ha ocurrido novedad en el territorio y sección de mi cargo digna de comunicarse á V. E.</t>
  </si>
  <si>
    <t>…de S. M. penetraron á sus madrigueras, especialmente en los partidos de la Huasteca y demarcación de Amatepec. Idem 11 de Jimio. Parte del capitán J&gt;. Ignacio Miranda al teniente coronel JD. Josef Igna cio. Qrtiz de Pozas. , ,, A consecuencia de las órdenes de vmd. me puse en marcha desde los Sa lados á las dos dé la .mañana del dia de ayer con la fuerza de 140 hombres que vmd. destinó á mis órdenes, compuesta de 25 infantes montados de Toluca,…</t>
  </si>
  <si>
    <t>…ord Clancarty por la Inglaterra y dei barón de Hümboldt.pour la Prusia. ESPAÑA. México- 7 de Julio, Continuación de los partes de Nueva-España, PROVINCIA DE GUAINAJUATO. Parte del capitán JD, Ramón Galinsoga ai comandante general D. Anr tonto de Linares. ,, Habiendo salido de la villa de Salamanca el 13 del corriente custodian do el convoy y correspondencia que recibí el dia anterior en el pueblo de Irapuato, para conducirle á la ciudad de Celaya…</t>
  </si>
  <si>
    <t>Jdureguiy, Josef Andrés de</t>
  </si>
  <si>
    <t>Josef Andrés de Jdureguiy</t>
  </si>
  <si>
    <t>…e empleen dicho método curativo, y de las observaciones que hagan sobre ellas. ESPAÑA. México 23 de Febrero, ■’ - ' Continuación de los fartes de Nueva-Esjpana. Parto del teniente coronel D. Josef Andrés de Jdureguiy citado en el que se insertó en la gaceta del sábado último. *,Para cumplir! debidamente la orden de V. $. de 1,7 del próximo pasado Diciembre hice salir el 26 del mismo una partida de 140 hombres, que po* la enfermedad de que adolecía en aquellos días, puse 4…</t>
  </si>
  <si>
    <t>JEstéban</t>
  </si>
  <si>
    <t>…artes y oficios, y que tanta y tan general aceptación ha' merecido en aquella capital. Hállase en el despacho de la imprenta Real á 4 rs. vn. , En virtud de providencia del limo. Sr. D. JEstéban ^ntonio de' Orellana, del Consejo y Cámara .^e S. M. en el Real y supremo de la Guerra, y asesor general, de los cuerpos y tropas de casa Real y su juzgado,privilegiado, se cita, llama y.emplaza á todas y cualesquiera personas que se conceptúen con derecho á…</t>
  </si>
  <si>
    <t>Jesucristo</t>
  </si>
  <si>
    <t>…de Martínez, frente á S. Felipe e! Real» y en Barcelona en la de Sierra y Martí: su precio 72 rs. en pasta y 60 á lá rústica. .Via crucís ó meditaciones sobre la pasión de nuestro Señor Jesucristo, sacadas del santo Evangelio por el limo. Sr. D. Santiago Josef Bencomo, obispo de Astorga. Se hallará en la imprenta de Dávila, calle ae Barrionuevo, y en las librerías de So jo, calle de las Carretas, y de Villa, plazuela de Sto. Domingo: su precio un real,…</t>
  </si>
  <si>
    <t>634</t>
  </si>
  <si>
    <t>…egura que esta ocurrencia cederá en mayor bien para nosotros, pues tiene hecha pretensión para que podamos decir misa en el Sepulcro de la Virgen y lugar del Nacimiento de nuestro Señor Jesucristo. ,, Ayer 10 se ha vuelto á abrir el santuario y convento de S. Juan de Judea, que ha estado cerrado dos meses por una alteración de los villanos.” Por esta relación se ve la inexactitud de las noticias publicadas en los periódicos extrangeros, de donde se tra…</t>
  </si>
  <si>
    <t>…ía de la viuda de Barco López, calle de la Cruz, y en Pamplona en la de Longás. En la librería de Rodríguez, calle de las Carretas, se hallan villancicos al naci miento de nuestro Señor Jesucristo á dúo, á tres, y á solo dos nuevos con acompa ñamiento de órgano obligado, y una misa á dúo, la que se copiará encargándola. . ~ EN LA IMPRENTA REAL.</t>
  </si>
  <si>
    <t>…das por Gam borino , su precio á medio real cada una. En la librería de Orea, calle de la Montera, se vende un villancico, compuesta» sobre los misterios del Nacimiento de nuestro Señor Jesucristo , á tres voces. EN LA IMPRENTA REAL,</t>
  </si>
  <si>
    <t>JfesétArffiíiáíl</t>
  </si>
  <si>
    <t>…nción dé cíase; jj$ de Junio de i8i?.r=Josfif deéxcup&lt;3° i i:?ó;s: ' -■ : íiiferro^.' V-A ' ’ •' , : J . k.‘- '■ ■ ■ ’ V-„ En recompensa de los servicios patrióticos qqeJta^ hecho D. JfesétArffiíiáíl :Santá María , vecino de ^dfid ,; se Jba *ex$dp el nuestro Señor con-</t>
  </si>
  <si>
    <t>Jimeno, Joaquín de Almazan y</t>
  </si>
  <si>
    <t>Joaquín de Almazan y Jimeno</t>
  </si>
  <si>
    <t>…rden debía disfrutar como quinta parte de los 5 760 que gozaba cuando cesó en aquel servicio j 7 que se inser te en la gaceta para satisfacción dej interesado. Por providencia del Sr. D. Joaquín de Almazan y Jimeno, teniente corregidor de esta muy heroica villa t y escribanía del numero de D. Anselmo Ordoñez, se sub astan en término y jurisdicción de la villa de Carabaña: primeramente 3 fanegas de tierra'de regadío con su alameda en la isla que llaman de D. Diego, inmed…</t>
  </si>
  <si>
    <t>Jiwh-Ruiz</t>
  </si>
  <si>
    <t>…á las órdenes del capitamD. Andrés Galilea. • ‘ -.ao! £Diósjguárde á JV;E.-*muchos años. Guadalajara 30 de Didéfobne de i-817; üExómo» ;Sf. = Josef de la Cruz.==Excmo. Sr. virey* D. Jiwh-Ruiz d£ Apodaba;"* v.-'; /k--» ¿ . 1. •' .-.í *i4‘".......1o</t>
  </si>
  <si>
    <t>JLantaño, Clemente</t>
  </si>
  <si>
    <t>Clemente JLantaño</t>
  </si>
  <si>
    <t>…rin recibo el detalle: mande V, - cantar un le JQeum y. una . salve á. nuestra Señora del Rosario. Dios guarde á V. muchos años. Talca 19 de Marzo d.e..i8i8, Mariano Osorio. =Sr.. D. Clemente JLantaño.” j Pormenores de la referida victorjaque.comunica uno de los gefes del egército vencedor en carta par,ticülai% ? * f ' ,,Los heroicos dragones de la Frontera ttivieron una accion el día 15 én este mismo parage , en? que después de haberse batido con dupl^cad…</t>
  </si>
  <si>
    <t>Jlerjrera, Francisco</t>
  </si>
  <si>
    <t>Francisco Jlerjrera</t>
  </si>
  <si>
    <t>…publicó" párá su. inteligencia á los fines quó le convengan. ' : Se cita á los acreedores é interesados en la testamentaría de Doña María Encar nación Nestares y Chapín, viuda de D. Francisco Jlerjrera, para que concurran á la jimta que se ha de celebrar el dia 20 de este mes , ¡á. las nueve, en fe posada del Se ñor D. Angel Fernandez de los Ríos, del Consejó‘de S. M., teniente corregidor dé ésta muy heroica villa. * . i ■ Por providencia del Sr. D. Manuel…</t>
  </si>
  <si>
    <t>JM, Pablo</t>
  </si>
  <si>
    <t>Pablo JM</t>
  </si>
  <si>
    <t>• " " estaña: Caracas 3 de Junio* Concluyen los oficios del Exento. Sr. D. Pablo JM)rillo. ; 4.° ,,Remito á V. S. una relación de varios individuos de la cíase lepardos, que por sus buenos servicios en defensa de la justa causa del Rey nuestro Señor han sido agraciados em diversas épocas con las recompensas que se señalan al margen de cada u…</t>
  </si>
  <si>
    <t>Jo</t>
  </si>
  <si>
    <t>…de que.acompaño adjuntos 6 égemplarés. i, „Gon fecha :de 3 del presente me comunica el comandante general de la provincia de Puebla brigadier D. Ciríaco de Llano , que continuando D. Jo sef Santa Marina, teniente coronel del regimiento fijo de infantería de Méxi co graduado de coronel, comandante del sitio, en buscar por las barrancas á los expresados prófugos, había logrado la aprehensión de la mayor parte de ellos, incluso el contumaz Cout…</t>
  </si>
  <si>
    <t>JÓ</t>
  </si>
  <si>
    <t>…que sea de su superior agrado. „Dios guarde á V. E. muchos años. Teloloapan 19 de Octubre de 1817.= Manuel Gómez, ss Excmo. Sr. virey D. Juan Ruiz de Apodaca.” Parte del teniente coronel JÓ. Mateo Cuilti. „Excmo. Sr.: Tengo el honor de participar á V. E. que el dia de ayer</t>
  </si>
  <si>
    <t>…..................... 1000 idem. En Palencia. 36377.......... •••••••••• 1000 idem. En Barcelona. ARTICULO DE OFICIO. El Rey nuestro Señor se ha servido conceder su Real permiso á D. Jo— sef Ramón Zaldivar, capitón de milicias disciplinadas de la Havaná, para Usar de la flor de Lis con que S. M. Cristianísima le ha condecorado. 11 ■- ■■ ■■ ■ w——————^ Obligada la Real junta superior gubernativa dé Medicina por uno de los primeros y principale…</t>
  </si>
  <si>
    <t>…icio del teniente coronel y comandante D. Antonio Larragoitu v Excino. Sr.: Acompaño á V. E. por el principal el parte que me da el capitán del regimiento de dragones del Príncipe D. Jo^ef María Soria sobre el resultado que tuvo la correría que le ordené el 22 del corriente. Los 4 ca ballos aprehendidos á los rebeldes los he aplicado á la compañía de realistas de caballería de esta ciudad, y de las 102 cabezas de ganado que cita, se está dev…</t>
  </si>
  <si>
    <t>JO</t>
  </si>
  <si>
    <t>4&lt;H ' t&gt;b ESPAÑA. !»v&gt; te'’ 4') Hb J.r.’ • oboíít México 25 de Noviembre.: \-; V 20Í Continuación de los partes de Nueva-España. - y Oficio del teniente coronel y comandante JO. Nicolás Gutiérrez. J V f * ■. ' fíi .y. P. „Excmo. Sr.: Hallándome en la ciudad de Ler.ma.jenola comisión: que; V. E. tuvo á bien conferirme, recibí la extraordinaria, que,maridó publica^ V. E. sobre la aprehensión del traidor Mina, é ihinediatapeiite hice q…</t>
  </si>
  <si>
    <t>…Pose, alférez del Real cuerpo de&lt;ii*± genieros ae la Armada, D. Angel Calderón de la! Barca, D. Manuel Domingo de Urquiza, D. Francisco García, D. Antonio Castro, D. Josef Belda, D. Jo sef Casado, y D. Luis Cifuentes, oyente. u ó Los examinadores nombrados por S. Ar R. fueron los1 Srés. D. Tgnacid Jáuregui, primer médico de CámaradeS.M.; D. «Agustín Mestre * boticario! mayor; D. Andrés Alcon, catedrático, de química del Real colegio.de Far^…</t>
  </si>
  <si>
    <t>…estará á las órdenes del brigadier D. Manuel Davan. 4.0 El segundo sé distribuirá en tres cantones, á saber: el de Gonil, que abrazará desde-Barbate á Santh-Petri, y lo mandará el brigadier D. Jo$ef Ozaeta: el de Puertos-Real, que se extenderá desde Santi-Petri hasta la einbocadurade la barra del Puerto de Santa María , será de cargo del teniente co ronel D. Ramón Rangel , comandante del segundo batallón del Infante D. An tonio ; y el de Rota, compren…</t>
  </si>
  <si>
    <t>…aber hecho muchas observaciones importantes en Mont-Bianc, se dirigió á Ginebra, en donde se halla actualmente. ESPAÑA. Cardeas 30 de Mayo, Continuación de los oficios del Exento. Sr. JO. Pablo Morillo al Sr. capi tán general. 3.0 El coronel D. Juan de los Reyes Vargas me dice desde Nutrias con ‘fecha de 16 del actual lo siguiente: ,,Excmo. Sr.: Tengo el honor de comunicar á V. E. como ayer 15 del corriente batí derroté completamente la divis…</t>
  </si>
  <si>
    <t>…a Cruz con 40 dragones se echasen encima á toda costa, y yo con los 40 restantes y los oficiales capitán gradua do de dragones de España, mi ayudante, teniente graduado del Potosí D. Jo sef María Yañez,»y el subteniente agregado de Sto. Domingo D. Joaquín vi llar en toda formación, me quedé para proteger á Villanueva en caso de qué el enemigo hiciese la resistencia que aparentaba. Todo se hizo con el orden dispuesto, de suerte que al cuarto…</t>
  </si>
  <si>
    <t>…... , ,,Dios guarde a V. E. muchos años. Salamanca Abril 6‘ de ,i&gt;8i8. =tEx celentísimo. Sr. ^Antonio de: Linares, =: Excmo. Sr. vírey D&gt; Juan Ruiz deApodaea.” Parte del. teniente coronel JO. Pedro Ruiz de Otano* ,, Consecuente' á, la orden de S. de 26 del corriente me puse en maro cha en la: noche de este día con 200 caballos de dragones del Príncipe y San Carlos*, desde la&lt; congregación, de Silao para la hacienda de Burras, en donde tuye notici…</t>
  </si>
  <si>
    <t>…uchos años. S. Angel Abril 26 de 1818.:= Excmo. $r.= Marcos Rodrigues. = Excmo. Sr. virey D. Juan Ruiz de Apodaca.” Idem 4 de Junio. LLANOS DE A PAN. Oficio del comandante general coronel JO. Manuel de la Concha. „Excmo. Sr.: En el punto de Ixliuntlan de la Sierra alta se han presenta do á gozar de la Reai gracia del indulto 80 familias, y en el de Chumatlanc 2 5 rebeldes acaudillados por los capitanes Malpica y Casado, que se separa ron en el Cu…</t>
  </si>
  <si>
    <t>…V. E. muchos años. S. Pedro Piedragórda Marzo 1.® de 1818. = Excmo.. Sr. = Juan Flores. = Excmo. Sr. mariscal- de campo Don Josef de la Cruz. OAXACA. Oficio del comandante general brigadier JO. Melchor Alvarez. Excmo. Sr.: Tengo la satisfacción de dar parte á V. E. que hasta está fecha no ha ocurrido la mas mínima novedad en toda la provincia de mi car go, y que sus habitantes, segundas noticias que he recibido, logran de la mayor tranquilidad. „ D…</t>
  </si>
  <si>
    <t>Jó, Gaspar Melchor de</t>
  </si>
  <si>
    <t>Gaspar Melchor de Jó</t>
  </si>
  <si>
    <t>…ho extravío. i . Informe de la sociedad económica de; esta corte al Real y supremo1 Concejo. de Castilla en el expediente de ley agraria extendido por su individuo' de niábiéro él Sr. D. Gaspar Melchor de Jó^ellarios: un tomo en 4.0 Esta edición que se anuncia* y que se hizo subrepticiamente , está llena de errores; pero habiendo sido adjudicada á la Real sociedad matritense, se^han anotado los ¡yerros que- tenia, -y se ha puesto al fin de ella una fe-de erratas,…</t>
  </si>
  <si>
    <t>Jo, Manuel</t>
  </si>
  <si>
    <t>Manuel Jo</t>
  </si>
  <si>
    <t>…edro, núm. 28, manz. 73, tasada en 94666 rs., y rematada en 80200. Quien quisiere hacer alguna mejora acuda dentro del término de 15 dias, contados desde 17 del corriente, ante el Sr. D. Manuel Jo sef de Rubio, del Consejo de S. M., teniente corregidor de esta muy heroica villa, por la escribanía de número de D. Jacinto Gaona y Loeches. A virtud de Real facultad cometida al Sr. alcalde mayor de la ciudad de Aígeciras, y en consecuencia de despacho libr…</t>
  </si>
  <si>
    <t>Jo-</t>
  </si>
  <si>
    <t>…no Teran. De Nueva-Vizcaya: alféreces D. Lázaro Armendariz y D. Justo Escudero. De Sierragorda: capitán graduado de te niente coronel D. Cristóbal Villaseñor; teniente graduado de capitán D. Jo-, sef García Marín , teniente D. Manuel Ortiz , y graduados D. Pedro Ana ya, D. Luis de la Carrera y D. Ignacio Romero Pando; alféreces D. Apolinario Rodea y D. Miguel Rodríguez. De S. Luis: capitán graduado de teniente co ronel D. Anastasio Bustamante; capitá…</t>
  </si>
  <si>
    <t>…niente fD. Marcos- Domin-i guez, de lá división dé milicias de Tuxpart-, y á los subtenientes 'de las cornos páñías de'fieles realistás de Túxpán y Pápantla D. Rafael ¡Contreras y D. Jo-* séf J'oaquin Cówley y que todos todos han desempeñado su deber, con h. yOr exactitud* j .‘árróstrando la multitud de peligros de todas clases qué se les hán-presentado. ■■ - .*• y : / Yy- ■ ,,Dios guarde'# -Vr E. mu’chos años. ' Gampoenía sierra de Tepecintí…</t>
  </si>
  <si>
    <t>…mana, inclusos los lunes: 500 rs. á D. Manuel Tresantos, vecino del puerto de Cudíllero, por haber beneficiado en el presénte año 73 quintales y medio de merluza cecial: 500 rs. á D. Jo-* sef López Antón, vecino del mismo puerto, por haber extraído de las entra ñas del pez llamado gata, que ha cogido con su lancha, 53 arrobas de sain, que analizado se halló ser de superior calidad al de ballena. Maza y barra de hierro á D. Francisco Amor y La…</t>
  </si>
  <si>
    <t>Joa</t>
  </si>
  <si>
    <t>…u anuncio en la gaceta y diario de esta corte, á D. Manuel Saenz del Prado, D. Lorenzo Fernande^de León, D. Juan Lorenzo Sánchez Cueto, D. Luis Franco, Doña Librada Perez Escovar, D. Joa quín Antonio Román, los Sres. Alzueta y Beratarrechea, D. Rafael Rodríguez, D. Juan de Dios Elias, los Sres. Bohe, hermanos y compañía, D. Mariano de Urbieta, D. Josef Uhicon, D. Ignacio Suarez, D. Francisco Antonio Abadía, Doa Mariano Gil y D. Josef Vilar, ú…</t>
  </si>
  <si>
    <t>…ragones deS. Carlos: capitán D. Domingo ligar te y portas D. Josef Ignacio Ximenez y D. Pedro Alarcon. Fieles del Potosí: capitán graduado D. Mariano Guardiola. Realistas de Apan: capitán D. Joa quín Espinosa y D. Antonio Ortiz, teniente D. Josef Ponce y alférez Don Rafael Salinas. „ También recomiendo á V. S. muy particularmente á mis ayudantes capitán graduado D. Manuel Fernandez Peredo y teniente D. Francisco Santelices, del regimiento de dragones…</t>
  </si>
  <si>
    <t>…ditado capitán D. Juan Nepomuceno Mon tero se ofrecieron á desalojarlos , acompañándolos la primera compañíá deí mismo éuérpo, mandando el todo el capitán de esta teniente coróne! D. Joa quín de .S. Martin , los que egecutaron Ja carga con tanto denuedo, qué ater raron al enemigo , haciéndole retirar envuelto en el mas completo derórdeñ: este se rehizo en el llano, y según los movimientos que observé, conocí se de cidían á ün ataque geiieraL…</t>
  </si>
  <si>
    <t>Joaquín</t>
  </si>
  <si>
    <t>…he sito, les parará el perjuicio que haya lugar. Para el remate de una casa sita en la calle de las Negras, núm. 3 y 4 de la man zana 101, apreciada en 232698 rs., ha señalado el Sr. D. Joaquín. Almazan, del Consejo de S. M., y teniente primero de corregidor de esta muy heroica villa, el dia 9 del corriente en la audiencia de S. S. á las 12 y media. La persona que supiere el paradero de Joaquina Alcaraz, muger de Tomas Can tero , vecinos de la ciuda…</t>
  </si>
  <si>
    <t>…iario y gaceta eh 12 de Febrero y 10-de Marzo pfóximcs pasados, cf día 24 del corriente mes, á las t 2 de la manáná , en- la audiencia de S. S. » - En* virtud5 dé providencia, del Sr. D. Joaquín: Almazan, déi Consejo de S. M,,‘ primer'teniente corregidor ;de iesta muy heroica- villa., refrendada por el escribano del námero:D. Claudio '5ánzy;se cita, 1 lamai y ¿mplará atod? s-y cualesquiera: per-: so ñas que seconsidcrén con derecho é¡as&gt; bienes'qupjh…</t>
  </si>
  <si>
    <t>…e admitirán las que hicieren siendo arregladas. Habiendo fallecido abintestato en esta corte D. Domingo Antonio Suarez el dia 21 de Setiembre de i8c6, han acudido sus cuatro hijos D. Joaquín, D. Miguel, Doña María Dolores y D. Juan Suarez al juzgado del Sr. D. Joaquín Almszan y Ximeno, del Consejo de S. M., teniente primero de corregidor de esta muy heroica villa, por la escribanía del número de D. Tomas de Sancha y Prado, en solicitud de.que se…</t>
  </si>
  <si>
    <t>…ares o patriotas que hubiesen muerto en defensa de ía justa causa de la nación, ha cabido en suerte del primer extracto de la de este dia á Doña Antonia Moreno , hija del patriota D. Joaquín, muerto en el campo del honor. ARTICULO DE OFICIO. Circular de la primer secretaría de Estado á las de Guerra, Marina, Gra^ cía y Justicia, Hacienda y al Consejo Real. ,, Las noticias oficiales recibidas hoy de Gibraltar y Andalucía confirman la existencia de…</t>
  </si>
  <si>
    <t>…av 2o , D. Rafael Minteguiaga 15, D. Ramón Go mia 10, D. Josef Ramón Zozalla 2, D-&gt; Jaime Mas 8, D. Martin de Irrgo•yen 8 , D.; Juan:.Gcrd.il.' d, D¿ tMiguel Antonio Oyarzabal 6 , D. Joaquín/ Emazabei 4, D. Antonio Delgado 4 , D. Vicente.Sarria 4, D. Marcial Bei*7 mudez 4, D. Joaquín Reina y Capetilío 8, D. Francisco Espar 6, D. Fran cisco Ríos i , Sr. marques dy Mijares 2 , D. Lorenzo Solórzano 10, D. Pe dro Josef Solórzano 16, DvJuan; Jósef Ech…</t>
  </si>
  <si>
    <t>…adla dignidad de arcediano.de la santa iglesia metropolita na de Sta. Fe , que se halla &gt;vacante por ascenso de I). Martin Gil y Garcés á deán de la de Valladolid de Mechoacan , á D. Joaquín 4el. Barco, canónigo de la misma iglesia. Igualmente para uña plaza de oidor de la Real audiencia de Quito, qúe está vacante por promoción de D. Pedro Antonio Cernadas á regente de la de Chile, á D. Bartolomé Mosquera; y para la asesoría y auditoría del gobie…</t>
  </si>
  <si>
    <t>…os 40 restantes y los oficiales capitán gradua do de dragones de España, mi ayudante, teniente graduado del Potosí D. Jo sef María Yañez,»y el subteniente agregado de Sto. Domingo D. Joaquín vi llar en toda formación, me quedé para proteger á Villanueva en caso de qué el enemigo hiciese la resistencia que aparentaba. Todo se hizo con el orden dispuesto, de suerte que al cuarto de hora de tiroteo ya los rebeldes se dis persaron por el escabroso br…</t>
  </si>
  <si>
    <t>…egio de primeras letras de esta corte ha de celebrar en este.año académico, habiendo dado principio en 29 de Setiembre de 1818, y concluyendo en 29 de Junio de 1819. Presidirá el. Sr. D. Joaquín de La Croix y Vidal, del Consejo de S. M. y su fiscal militar en el supremo de Almirantazgo, brigadier de la Real armada, caballero en Ja. Real ^ militar'orden de. S.. Hermenegildo &amp;c. Efdia 2.9 de: Setiembre;de j&amp;i&amp; D. Domingo Cuét y D. Manuel García</t>
  </si>
  <si>
    <t>…ntinuará.') En el Consejo supremo de Hacienda y sala segunda de Justicia, por la escribanía de Cámara al cargo de D. Andrés Melendez,. se siguen autos en grado de apelación contra D. Joaquín y D. Florencio Rubio, hermanos, vecinos que fueron de la villa de Hortigosa de Cameros, partido de Logroño, sobré comisó de porción de bayetas de diferentes colores que les aprehendió el resguardo de Rentas de la ciudad de Betanzos, y falsificación de la guia con que las conducía…</t>
  </si>
  <si>
    <t>Joaquin</t>
  </si>
  <si>
    <t>…y dos sacerdotes: tiene un anejo que paga de 700 á 800 rs. anuales, su población 60 vecinos, y dista un cuarto de legua. Los q ue quisieren pretenderlo dirigirán sus memoriales á D. Joaquin de la Roca, procurador síndico por su estado noble. Se halla vacante la plaza de médico de la villa de Almoharin , en la provincia de Extremadura, que consta de 300 vecinos, y su dotación es de 89 rs. vn. pagados por tercios por la justicia, y ademas casa pag…</t>
  </si>
  <si>
    <t>Joaquín, Josef</t>
  </si>
  <si>
    <t>Josef Joaquín</t>
  </si>
  <si>
    <t>…e Camargo, se comunicó traslado á los interesados por auto de 25 de Noviembre de dicho año, que se hizo notorio á la Sra. Doña Ana María de Herrera Carreto yPalazuelos, viu da del Sr. D. Josef Joaquín de la Puente, marques de Villapuente de la Peña, ve-, ciña del lugar de Muriedás en dicho valle de Camargo, á virtud del despacho que se libró con fecha 20 de Diciembre del propio año á instancia de la parte del Don Francisco Josef Fernandez de Horas y de D.…</t>
  </si>
  <si>
    <t>JoaquindeAlm</t>
  </si>
  <si>
    <t>…'procurador del número de esta muy heroica villa, tasa do en 559 rs., y se ha señalado para el remate el dia;7 de ;Mayo-próximo de docel una.de su mañana en: la audiencia .det Sr; D. JoaquindeAlm^zan, del Consejo de S. M., teniente corregidor de esta muy heroica villa, ¿a persona que quiera hacer postura,, no siendo en menos de la tasación., acuda ante dicho señor juez-, y escriba nía de D. Cristóbal de Vicuña. Por el presénte se cita, llama y .emplaz…</t>
  </si>
  <si>
    <t>Joaquíñlbnnez</t>
  </si>
  <si>
    <t>…rá esta; resulta á D. Juan&lt;Garbach©$ ^néltimameñtó'pa^á* laí¡qpe :que&lt;4acvacante eii la^ReaL audiencia-de'Goatemala^ *por %a$láéi©ñ 4 lá* de Cuba do D.&gt;cAgustín Gómez Ochagavia, á D. Joaquíñlbnnez. 1 * ; Para el corregimiento de Quesalte,nango / por haber cumplido su tiempo D. Miguel Gátrrlhr üé Albornoz / há Veííido* S. M. enfnbmbf^r !á D/luán jW sefiEcheyarm. &gt; j h i 3 i- 4 1 / • 3:i' a- i.i . O .m c; ‘; ; Lhv aténcion á ios ‘seryJc.ípÁy coronel /egh…</t>
  </si>
  <si>
    <t>Jones, Jacobo</t>
  </si>
  <si>
    <t>Jacobo Jones</t>
  </si>
  <si>
    <t>…de otros individuos y gefes heridos. ,, Por nuestra parte hemos tenido la pérdida que consta del adjunto esta do, siendo entre ellos muy sensible la del benemérito y bizarro joven Don Jacobo Jones, teniente del regimiento de infantería de Navarra, y ayudante del brigadier D. Josef Canterac. Este oficial, cuya conducta irreprensible, aplicación é inteligencia le hacían amar de todo el egército, se distinguió este</t>
  </si>
  <si>
    <t>Jor, S. S.</t>
  </si>
  <si>
    <t>S. S. Jor</t>
  </si>
  <si>
    <t>…ya no existe en aquel punto; y asi se ne cesita observar con rigor las reglas de cuarentena establecidas para libertarr nos de tan terrible mal. Con este motivo me repito , Excmo. Sr. S. S. Jor ge Don &amp;c., general. = AI Excmo. Sr. D. J. M. Álós. El Rey se ha servido promover á subtenientes del Real cuerpo de arti llería á los caballeros cadetes del colegio militar de Segovia D. .Antonio Ter-^ jrero y Díaz; D. Mariano Salas y Azara; D. Francisco Lava…</t>
  </si>
  <si>
    <t>Jordán, Francisco</t>
  </si>
  <si>
    <t>Francisco Jordán</t>
  </si>
  <si>
    <t>…as de la calle Mayor, frente á la casa del conde de Oñate, se hallará la estampa de la Santísima Trinidad, dibufada por D. Vicente López, y grabada en cuartilla de marca mayor por D. Francisco Jordán; S. Isidro labrador, S. Juan Nepomuceno, grabadas por Noseret; S. Felipe Neri, por Bruneti, todas en cuartilla de la misma marca, á g rs. cada una. Hay de otras muchas de es te y otros diferentes tamaños de santos y santas de la mayor devoción, y con el per m…</t>
  </si>
  <si>
    <t>Jorganes, Joaquín</t>
  </si>
  <si>
    <t>Joaquín Jorganes</t>
  </si>
  <si>
    <t>…10 restan tes de i 600 pesos, todos los cuales se han remitido á la Dirección del Crédito público, para su amortización y cancelación. - l El?capitán de fragata de la Real armada D. Joaquín Jorganes, coman dante militar de Marina de^Vitlagarcía, ha cedido á favor de la Real Ha cienda 3® rs. vn. de sus haberes vencidos hasta fío de Marzo de 1816, cuyo rasgo de generosidad se ha dignado S. M. aceptar, mandando se le den gra cias en su Real nombre, y que se…</t>
  </si>
  <si>
    <t>Jorge</t>
  </si>
  <si>
    <t>640</t>
  </si>
  <si>
    <t>…rd canciller que anunciase Ja disolución del Parlamento actúa), lo que S. E. egecutó inmediatamente. : , Gtbraltar 14 de Junio. Ayer se publicó en esta plaza el bando siguiente; ,,Don Jorge Don , general de lós Reales egércitos de S. M. Británica &amp;c. * ,, Por cuanto parece que la peste sigue cundiendo en Africa, haciéndose” úsi mucho más inminente’ el riesgo de que penetre en esta , plaza , el Excmo. Sr. teniente gobernador da esta pública noticia y…</t>
  </si>
  <si>
    <t>…del mismo Empe-* rador, y , la condesa de Mcwitholon. ; i'.&lt; ¡ Idem 2. Se ha celebrado la tercera conferencia ministerial, y, sus resultados hall sido de la mayor importancia*. El conde Jorge. dé Caraman ha salido. con pliegos para París. 1 Se dice que los; Soberanos van á obsequiarse mutuamente con magníficas fiestas para celebrar esta feliz época. Parece que la mansión de SS. MM. en esta ciudad será de tres semanas ó un mes, J • ‘ • ; ' FRANCIA.…</t>
  </si>
  <si>
    <t>Josef</t>
  </si>
  <si>
    <t>…caudillo Juan Josef Rebolledo. Dos leguas antes de llegar á él hice desembar car 100 hombres á cargo del capitán de cazadores D. Juan Duran, y del ayudante adicto al estado mayor D. Josef de la Torre, que auxiliado por las flecheras, que al mismo fin destiné de vanguardia, fueron suficientes para des truir completamente los facciosos. El gefe Rebolledo, su segundo, otro gefe llamado Nuñez con muchos oficiales y tropa quedaron muertos en el cam…</t>
  </si>
  <si>
    <t>„Díos guarde á V. E, muchos años. Tepic 7 de Mayo de i8i7,=Excmo. Sr.= Joaquin Mondragon. = Excmo. Sr. D. Josef de la Cruz.” 3.0 „ Excmo. Sr.: Ya por mi oficio de 7 del corriente, á las dos de la tarde, habrá V. E. visto que se realizaron las esperanzas que llegué á creer fundadas, según lo manifesté en el de 2 del mismo presente mes, sobre pre sentación al indulto de…</t>
  </si>
  <si>
    <t>…la misma ; y para la resulta que quedó vagante á D. Luis Rodrí guez de Lema: para la primera de las dos medias raciones nuevamente au mentadas en la iglesia catedral de Guamanga á D. Josef pastor de León-; y para otra media ración, vacante en la iglesia metropolitana de Charcas por ascenso de Dv Francisco de Chic lana- y Vilehes, á DrFrancisco de Bxrcni y Gallego. A-i</t>
  </si>
  <si>
    <t>…militares ó patriotas que hubieren muerto en defensa de la justa causa de la nación, ha cabido en suerte del primer extracto de la de este día á Doña Antonia María López, hija de D. Josef, teniente que fue del regimiento de infantería de Sevilla, muerto en el campo del honor.</t>
  </si>
  <si>
    <t>…= Excmo. Sr.srMatías de Aguirre. = Excmo. Sr. virey D. Juan Ruiz ^ yde Apodaca.’* ; _ . y;'/; ■ S. E. ha mandado dar las gracias en nombre del Ráy nuéstro Señor al Sargento mayor D. Josef dé Castro por su cuidado / y al coroñeí D/Matías Martin y Aguirre por.sus útiles disposiciones;-previniendo á* este géfé fas dé al teniente coronel D. Vicente Lara, oficiales y tropa que se han hallado en la acción , cuyos pormenores desea lleguen cuanto ante…</t>
  </si>
  <si>
    <t>Joséf</t>
  </si>
  <si>
    <t>…gladas. .En el juzgado civil del Sr. D. Martin de Gaztanaga, alcalde de Casa y Corte, y ¿scribanía de provincia de D. Manuel López de Rivas, se halla radicada la testamen taría de D. Joséf de la Dehesa, vecino y del comercio que fue en esta corte; y en1 virtud de junta general celebrada el i.° de Mayo anterior de todos los acreedores* que se mostraron parte en los autos de dicha testamentaría , se ha acordado entre otras cosas que se cite y emp…</t>
  </si>
  <si>
    <t>…aña: los de la izquierda, el primero por elcófóñéi vivo D. Josef CasaS, agregado al batallón segundó ligero primero de Cataluña: el segundo por él coronel sargento mayor del campo D. Josef dé Vélasco; y el tercero por el .teniente coronel D. Henrique Ballesteros, espitan del batallón ligero prime ro de Cataluña, siendo ayudante del coronel D. Josef de Velasco el capitán graduado D. Agustín Cabrera, teniente del regimiento infantería 4e Galicia.…</t>
  </si>
  <si>
    <t>…cular de todos los que 'obtuvieron dé lósexaíriiñadóres una sobresaliente censuré. Ademas de esto á todos los 62 maestros se les dio un egemplar dél método de escribir del Excmo. Sr. D. Josef di'Anduaga encuadernado en buena pasta, en prueba de lo gratas que han sido á la junta sus tareas en beneficio ae los inocentes niños de diputación; y también para que todos arreglen su enseñan za á dicho método , mediante á háfcerló expresamente jnañdádó S.…</t>
  </si>
  <si>
    <t>…ritos, según se expresa en el referido, capítulo de la ordenanza , ea cuyo cumplimiento se expiden estos edictos, convocatorios»* ■ —^Qr.,pxaxideaí?b-víiei,señor, alcalde de Corte D. Josef .López-del Pan-, refrendada por el escribano de provincia y comisiones de la misma D. Luis López de Castro, se ha mandado suspender la subasta de dos casás sitas en esta corte, y sus calles de Can-</t>
  </si>
  <si>
    <t>…siguiéndolos en todas direcciones, haciendo uná carnicería, horroro sa hasta arrollar sil reserva. Luego qué quédó el campo? póir ñó$qtrqs , mandé at capitán graduádo de tértlente coronel D. Josef^ Martínez cón 150, hóínbrés para petséguTr á los que se retiraban pór el caminó de Calabozo, cuya ope ración jtuvÓ" él. mejor resultado por el destrozo qué ; hicieron ; - pero nuestra desgracia filé él qué á feí legua f- media tciVíéfbu ios riiás qfué regresa…</t>
  </si>
  <si>
    <t>…itó 5 retacos, algunos machetes y 20 caballos. ' ' ,,Dios guarde á V. E. muchos años. Piedad Noviembre 2 de 1817.=: Exemo. Sr. = Anastasio Brizuela. = Excmo. Sr. mariscal de campo D. Josef . de la Cruz.” 2.0 ,, Excmo. Sr.: Paso á manos de V. E. para su debido superior cono cimiento el parte original que me ha dirigido el teniente coronel D. Herme negildo Revuelta, comandante militar de Lagos, referiente á la expedición ’ que acaba de egeCutar u…</t>
  </si>
  <si>
    <t>…undo Longino Carmona, que apresó al cabecilla. ,,Dios guarde á V. E. muchos años. S. Pedro Piedragorda Diciembre 22 de i8i7.=Éxcm©. Sr.2Juan Flores. = Excmo. Sr. mariscal de campo Don Josef de la Cruz.’\ . 2.0 „ Excmo. Sr.: Paso á manos de V. E. para su debido superior cono cimiento el parte original que me ha dirigido el sargento mayor D. Juan Flo res , comandante militar de S. Pedro Piedragordá, con motivo del buen éxi to que logró en los pueb…</t>
  </si>
  <si>
    <t>…cipo á V. E. para su superior conocimiento. ,,Dios guarde á V. E. muchos años. S. Pedro Piedragorda Diciembre- 5 de 1817. = Excmo. Sr. =Juan Flores. = Excmo. Sr. mariscal de campo Don Josef de la Cruz.” Ir un 14 de Agosto. En la tarde del 9 del presente mes dió a luz en la ciudad de Fuenterrabía tres niños robustos Joaquina Antonia de Tife, muger del marinero Sales Ma rín : madre é hijos continúan siii novedad, aquella es de edad de 38 años, de…</t>
  </si>
  <si>
    <t>…hallará en la librería de la viuda de Barco López, calle de la Cruz, y en Granada en la de Martínez. ó. Resúmen del arte de escribir , ó arte dé, escribir el bastardo español, por Don Josef. Díaz Manzanares y Hénrique^ Esta obra. escrita para discípulos y, maestros, ademas de reducir* este, arte á- su mayor guació de sencillez , contiene algunas reglas nuevas, destruye otras sancionadas por dogmas, trata del método de enseñar el cur sivo tan des…</t>
  </si>
  <si>
    <t>…oco por aqui de camino para Egra, es el que primero nos dio la noti cia de que el congreso se había diferido doce dias. El feld-mariscal príncipe de Schwartzemberg y su hermano el príncipe Josef permanecerán aqui hasta el día 20. El feld-mariscal ha recibido mucho alivio con los baños, lo mismo que empieza ya á experimentar el príncipe Blucher. ' PRUSIA. Aquisgran 17 de Agosto, S. A. la princesa de Hardenberg ha llegado aqui, en donde se detendrá á t…</t>
  </si>
  <si>
    <t>…cio. Los reos se empezarán á fusilar desde mañana. ■ ,,Dios guarde á V. E. muchos años. Lagos Enero 25 de i8i8.rrExcmo. Sr. = Hermenegildo Revuelta. = Exemo. Sr. mariscal de campo D. Josef de la Cruz.” Contestación del Exemo. Sr. virey al Exemo. Sr. mariscal de campo Don Josef de la Cruz. ,, Exemo. Sr. : He visto con mucho aprecio el parte del teniente coronel D. Hermenegildo Revuelta, que V. E. acompaña á su oficio núm. 23 de 30 de Enero iilti…</t>
  </si>
  <si>
    <t>…aslado á V. E. para su debido superior conocimiento. ,,Dios guarde á V. E. muchos años Zamora Enero 21 de i8i8. = Excmo. Sr.= Juan Antonio Brizuela == Exemo. Sr. mariscal de campo D. Josef de la C ruz.” (Se continuaran.) Avila g de Setiembre. La Real junta de educación de, esta ciudad, que ha procurado siempre, con ei mayor anhelo los adelantamientos de la juventud, estimulando su aplicación con diferentes premios y otros alicientes, pasó al au…</t>
  </si>
  <si>
    <t>…a toma del fuerte de Jaujilla que acabo de recibir ahora que son las cuatro y cuarto de la mañana, y cuyo parte origi nal conduce á V. E. desde el sitio el ayudante del comandante general Don Josef; Guiral, fue .anunciada en, esta ciudad con repique general y salva de ar tillería , resonando entre el estruendo del canon las aclamaciones y vivas mas tiernas á . nuestro augusto Soberano. . &gt; „ Dígnese V. E. recibir estas cortas demostraciones de fidelidad…</t>
  </si>
  <si>
    <t>…tin y Aguirre. ~ Excmo. Sr. virey P. Juan Ruiz de Apodaca.” Idem 4 de Junio. NÜEVA-GÁLICIA. Parte del teniente coronel D. Domingo Clavarino al comandante general mariscal de campo D. Josef de la Cruz. ,,Excmo. Sr.: Con la mayor satisfacción acompaño á V. E. los dos par tes de las gloriosas defensas que hicieron los dos puntos fortificados de la lí nea de' mi mando; todo lo cual confirma el teniente coronel I&gt;. Antonio In* guanzo, á quien, como…</t>
  </si>
  <si>
    <t>1174 Idem 4 de Junio, Parte del comandante general D. Josef de la Cruz. Excmo. Sr.: Paso á manos cíe V\ E. para su debido superior conocí-* miento el parte original del capitán D. Luis Crespo, comandante interino del pueblo de la Piedad, pertenéciente á la provincia deVail&amp;dolid; y no puedo menos, en honor de la justi…</t>
  </si>
  <si>
    <t>…que calmen, en parte las necesidades- que sufren* ,,Dios guarde á V. E. muchos años. Piedad-Marzo 29 de 1818. = Exce lentísimo Sr. =: Luis Crespo. == Excmo. Sr. mariscal de campo D. Josef de la Cruz.” . Lebrija 10 de Octubre} El 22 de Julio último merecieron el justísimo aplauso de Ips amantes de Ja instrucción publica en esta villa los cursantes patricios y forasteros de su Real ciase de humanidades, que dirige el apreciable humanista D. Fran…</t>
  </si>
  <si>
    <t>…satisfacción ó premio de los interesados; ,, Dios guarde i V. E. muchos años. S. Pedro Piedragórda Marzo 1.® de 1818. = Excmo.. Sr. = Juan Flores. = Excmo. Sr. mariscal- de campo Don Josef de la Cruz. OAXACA. Oficio del comandante general brigadier JO. Melchor Alvarez. Excmo. Sr.: Tengo la satisfacción de dar parte á V. E. que hasta está fecha no ha ocurrido la mas mínima novedad en toda la provincia de mi car go, y que sus habitantes, segundas…</t>
  </si>
  <si>
    <t>…muchos años. Ojuelos Febrero 17 de 1 8. = Josef Gaspar de Ochoa. = Sr. teniente coronel D. Hermenegildo Revuelta.” Parte del sargento mayor D. Juan Flores al Excmo. Sr. comandante general D. Josef de la Cruz. ,,Excmo. Sr.: El dia 23 en la tarde salieron de este destacamento los dos piquetes de Acordada al mando del capitán de fieles realistas graduado Don. Estéban Quesada, con el objeto de proteger el paso á SIlao á una porción de cargas de sal de vari…</t>
  </si>
  <si>
    <t>…s militares ó patriotas que hubiesen muerto en defensa de la justa causa de la nación, ha cabido en Suerte del primer extracto de la de -este dia á Doña Timotea de Castro, hija de D. Josef, subteniente que fue del extinguido batallón de fusileros de Aragón, muerto en el campo dél honor.</t>
  </si>
  <si>
    <t>Josef, Antonio</t>
  </si>
  <si>
    <t>Antonio Josef</t>
  </si>
  <si>
    <t>AI teniente cíe uávío D. Antonio Quintano j comandante dé la corbeta Diamante y-del convoy, el empleo de capitán de fragata: al teniente de na vio D. Antonio Josef ílel Campo, comandante del bergantín Alerta, grado de capitán de Fragata: á los tenientes de fragata D. Josef Maestre y Osorno y D. Ignacio Fernandez Flores, comandantes de los bergantines Realista y Ven gador, grados de tenientes de navio: á ios alféreces de…</t>
  </si>
  <si>
    <t>Josef, Manuel</t>
  </si>
  <si>
    <t>Manuel Josef</t>
  </si>
  <si>
    <t>…les, tasada en la cantidad de 610 jo is. vñ., y dan por ella 40750 rs. vn. en metálico, se ha señalado el lunes 18 de es te mes á las 12 en puntaiie su mañana;en la audiencia. d«Ü Sr. D. Manuel Josef de</t>
  </si>
  <si>
    <t>868 Por providencia del Sr. D. Manuel Josef dé Arbizu, del Consejo de S. M., al calde de su Real Casa y Corte, y para pago de.acreedores , está mandado sacar á pu blica subasta por término de 30 dias una casa sita en la calle de Atocha/accesoria á la de S. Ildefonso de esta corte ^señalada con el núm.…</t>
  </si>
  <si>
    <t>Josef, Pedro</t>
  </si>
  <si>
    <t>Pedro Josef</t>
  </si>
  <si>
    <t>…l de Segovia, D. Francisco de la Mata Linares, iglesia colegial de Escalona, capilla'dé nuestra Señora de Gracia de Madrid, arzobispo de Santiago, santos' lugares de Je-* rusalen, D. Pedro Josef d¡e Beri , vecino dé lá ciudad de; las i Palmas/'eL lvirey Amat, D. Joaquín Quintana y D. Francisco Sierra, de Cádiz-, D¿ Melthor-Pascual Calata-* yud, Doña María Teresa Lisperguer, arciprestazgos del obispado de Sigüenza, orden de'S. Juan, villa de Castel-Da…</t>
  </si>
  <si>
    <t>JóSéf, Ulpiaño</t>
  </si>
  <si>
    <t>Ulpiaño JóSéf</t>
  </si>
  <si>
    <t>…allas de plata con las armas de la citidád , y una inscripción alusiva al asunto, pasó á distribuirlas entre los que particularmente se distinguieron ; y Ió hizo en esta forma v A D. Ulpiaño JóSéf dé Moroy, á É&gt;. Genaro de Eche varría y á D. Andrés Policarpo de Atauri tres iíiedallas de distinción ó pre mio sobresaliente por aplicación , virtud y mérito , lás cuales costeo y entre gó á la comisión de escuelas un sugeto amante de lá pública educación, y…</t>
  </si>
  <si>
    <t>Josefa</t>
  </si>
  <si>
    <t>…a corte, y por la esgribat)ía,.ciel número de la misma del cargo de D. Pascual Seco, que se ad mitirán las que se hicieren siendo, arregladas. .... Se desea s^jber.el paxadfero de Doña Josefa ó Isabel Benavente, viuda de D. An. dres Barraza y Barfi, ó en defecto de ella el de sus parientes 6 herederos, para co municarles asuntos que les interesan, á cuyo fin dejarán la noticia en la plazuela de Sta. Ana , casa ñám. 11, al relogero que está en el p…</t>
  </si>
  <si>
    <t>Josefa, María</t>
  </si>
  <si>
    <t>María Josefa</t>
  </si>
  <si>
    <t>…sco de Paula y Dona María Josefa de Frías, que parece murieron abintestato, el D. Francisco en el año de 1812, siendo ya capitán del regimiento in fantería primero dé Saboya, y la Doña María Josefa en 27 de Junio de 1814, estan do casada con el capitán de los Reales egércitos D. Genaro Gílabert; para que acudan á deducirlo y exponerlo en debida forma por el oficio del escribano de número D. Clau* dio Sanz, dentro del preciso y perentorio término de 30 d…</t>
  </si>
  <si>
    <t>JOséfCristóbal</t>
  </si>
  <si>
    <t>…es : PROVINCIA ' DE GUANAJUATÓ. . \ ^ • i.°¡Del mariscal de campoD* PajcítaVcfe ,, Excmó. Sr. : Tengo el hónér de acompañar E. el parte original qué ine pasa el ‘ teniente coroné! D. JOséfCristóbal 'V'illaseñor ,relafivoauha salida que dispuse efectuase^con joocaballós para'*swprenderíal cabeci¿la tgi-</t>
  </si>
  <si>
    <t>Joseí</t>
  </si>
  <si>
    <t>…quín Almazan y Ximeno, del Consejo de S. M., teniente de corregidor de esta corte, se cita y emplaza á las personas interesadas en Ja herencia de Dona Ramona de la Azuela, hija de D. Joseí y de Doña Teresa Villamon, difuntos, vecinos del lugar de Viergol, en el Real valle de Mena, la que falleció soltera sin disposición testamentaria el día 26 de Noviembre de 1816 en el expresado lugar de Viergol, para que dentro del preciso y perentorio términ…</t>
  </si>
  <si>
    <t>Josej</t>
  </si>
  <si>
    <t>…siempre á la enseñanza de un niño. / ■ ESPAÑA. México 28 de Abril'. Continuación de los parles de llueva-España. NUEVA GALICIA. Del Exemó. Sr. comandante general mariscal de campo D. Josej de la Cruz. &gt; „Excmo. Sr. • Paso á manos de V. E. original para su debido superior conocimiento el parte duplicado que me remite el coronel D- Luis Quíntañar (pues el principal fue interceptado por él cabecilla Peña r y degollado el cor reo que le traía. segú…</t>
  </si>
  <si>
    <t>Jovellanos</t>
  </si>
  <si>
    <t>…lle de Valverde, donde se hallarán también de venta por separado la disertación sobre las cruzadas del Sr. Navarrete, á 15 rea les, y la memoria sobre las diversiones públicas del Sr. Jovellanos, á ó rs.; y ade mas los 4 tomos anteriores de Jas memorias; las partidas del Rey D. Alfonso el Sa bio en 3 tomos en 4.0 marquida; demostración de las monedas del reinado de Henrique iv , y las demas obras de la academia. Se han puesto de venta algunos egempla…</t>
  </si>
  <si>
    <t>Jovellanos, Gaspar Melchor de</t>
  </si>
  <si>
    <t>Gaspar Melchor de Jovellanos</t>
  </si>
  <si>
    <t>…us condes hasta que se incorporó en la corona del Pirineo hacia el año de 1015, por D. Joaquín Traggia. 7.0 Memoria sobre las diversiones públicas que se han usado en España , por D. Gaspar Melchor de Jovellanos: u$ tomo en 4.0 mayor de mas de 520 páginas. Véndese á 46 rs. en papel, 30 en rústi ca y 56 en pasta en la librería de Sojo, calle de las Carretas, y en el despacho de libros de la Real academia Española, calle de Valverde, donde se hallarán también de venta…</t>
  </si>
  <si>
    <t>Joyes, Patricio</t>
  </si>
  <si>
    <t>Patricio Joyes</t>
  </si>
  <si>
    <t>…atar -con él. . ■: El Sr. D. Joaquín de Almazan, teniente primero de corregidor de esta muy he roica villa, ha señalado para junta general de acreedores á la casa de giro titulada D. Patricio Joyes é hijo el dia 5 de Julio próximo, á las nueve en punto de su ma ñana, en una de las salas del Excmo. ayuntamiento. Lo que se hace saber á los mis mos para su precisa concurrencia; con prevención que de no hacerlo les parará el perjuicio que haya lugar. Por el…</t>
  </si>
  <si>
    <t>Jü</t>
  </si>
  <si>
    <t>…^4&lt;&gt;$i Rap!ta ;i oficial,'i sargentos *30 cabos y soldados: la, i oficial T. 2 sargentos ,30 cabos y soldados r Gol ib de la Ampolla , 1 oficial, 2 sargentos, 30 cabos y soldados: D. Jü anude! Pino , capitán de voluntarios de Tarragona, inspector de estas partidas: D. Francisco Straucfi, comandante de hatallon agregado; al regimiento de infantería de Aragón , gefe de estos distritos. Hospitalet del Infante, 1 oficial, 1 sargento, 18 cabos y…</t>
  </si>
  <si>
    <t>JuamLopez</t>
  </si>
  <si>
    <t>…cinco Gremios. También se ha abierto sus cripción en Santiago en la librería de Rey Romero, donde se hallarán los tres to mos, siendo de cuenta de los suscriptores pagar el porte__D. JuamLopez, geógra fo de vS. M., ha formado un mapa general de la España antigua para la mejor inteli gencia de la descripción corográfica y diccionario que se ba puesto en el tomo 3.0 do esta nueva edición del P. Mariana. Se vende en dicha librería de Quirós. EN LA IMP…</t>
  </si>
  <si>
    <t>Juan</t>
  </si>
  <si>
    <t>…contribuyan á la tpacificación .general de esta América! „Dios guarde á V. E. muchos años. Actopan Marzo 17 de 1817.= Excmo. Sr. = Lie. Josef Sotero de Castañeda» Excmo. Sr. virey D. Juan -Ruiz de Apodaca.” Idem 16 de Julio. En gaceta extraordinaria de este día se ha publicado el parte siguiente dirigido al Excmo. Sr. virey sobre la destrucción de algunos malvados per tenecientes á la gavilla del traidor Mina. „Excmo. Sr. -. Como expuse á V. E…</t>
  </si>
  <si>
    <t>…fallecido en la noche del 4 del corriente en esta corte Dona Mana Carrasco Gavilán, viuda de D. Gabriel de Urruela, natural de la villa de Escarniila, obispado de Cuenca, hija de D. Juan y Doña María Gallego, abintestato (pues aunque se halló entre sus papeles una declaración de pobre, en que instituía por heredera á su hermana Doña Isidora Carrasco, parece haber fallecido anteriormente) se radicaron los autos de abintestato ante el Sr. D. Joaquín de Almazan, del…</t>
  </si>
  <si>
    <t>…coronel D. Manuel Gómez los escarmentase. Mas en vista de que no oía rumores ni tiroteos, m^.iDui aproximandóá» las Tortisficacipnes enemigas: y puntos que me destinó,el tenieute coronel D. Juan. Isidro Marrón á tiro de cañón » los que cudria mientras podía descubrir las, tropas que maridaba, el «citado teniente coronel D. Manuel Gomez.;A las 10 de la misma mañana, ya que estaba bien situado; descubrí por mi izquierda unas cargas y familias escoltada…</t>
  </si>
  <si>
    <t>…uvo algunos dias en Córdoba, y desde entonces se ignora donde para; é interesan do el saberlo, se suplica á la persona que tenga noticia de él se sirva comunicarlo en esta corte á D. Juan de la Vera,coronel de Ingenieros, que vive calle depreciados, riúm. gr, cuarto principal, ó dirigir el aviso i fa ciudad de Ubeda, en el reinq.de Jaén, al teniente coronel retirado D. Ramón de Orozco y Zayas. EN LA IMPRENTA REAL.</t>
  </si>
  <si>
    <t>…esde el 20 de Agosto aí 30 de Octu bre en la segunda época: 5.0 que el médico director del establecimiento de Quinto D. Manuel Arranz reside actualmente en Zaragoza; el de Ardales D. Juan de la Monja en Casarabonela; el de Bornos D. Miguel Baldovi en este mismo pueblo; el de Caldetas D. Antonio Coca en Igualada; el de Caí das de Reyes D. Manuel Jacobo Fernandez en el misino pueblo; el de Sacedon D. Marcelino Sainz en el citado pueblo; el de Pu…</t>
  </si>
  <si>
    <t>…a mayor. Ei dulce sueño de Jesús, por Ametller, a 12 rs. = Estampa que representa el origen de la pintura, a 8. = Mapa geográfico de la América meridional, dispuesto y grabado por D. Juan de la Cruz Cano y Olmedilla, geógrafo que fue de S. M.: se compone de ocho pliegos de papel imperial. Este mapa, por su grande escala, por el menudo y exacto detalle que tiene de lo interior de aquellos países, y curiosas noticias que comünica de aquella part…</t>
  </si>
  <si>
    <t>…ronel graduado, y capitán que fue del regimiento de suizos de Reding; que falleció intestado ; ■ y por id presente anuncio se cita , llama y . emplaza á ios pa rientes del difunto D. Juan, y á los que se consideren con derecho á sus bienes y caudal, para que por sí ó por medio de apoderado con poder bastante acudan ante ,el expresado señor juez dentro del término de 6o días, contados desde este anuncio, á decir y exponer de su derecho y justic…</t>
  </si>
  <si>
    <t>…dores graduados en el mismo lugar&gt; que lo son Dona Jo sefa María Rogibal, D. Francisco de Ayerbe, D. Domingo González Valdosera, ' Doña Manuela Martín Alonso, D. Manuel Rodríguez, D. Juan de las Fuentes, D. Julián de Arozarena, D. Manuel de Navacerrada, D. Lorenzo Tarsis y herma nos, D. Manuel de Iruegas, D. Josef Ignacio Gutiérrez, la casa de Iruegas y Gil, y D. Antonio Penaso, sus hijos, herederos ó sucesores, para que en el término de 30 di…</t>
  </si>
  <si>
    <t>…mismíi audiencia de Quito» :por/allegimknta de&gt;D. .Pedro ¿Vicente* Cañete,, aT&gt;. Juan LópezTormaleo^teniente delgobernadonletfado de;Cueit**; ca delPerúvs iy ípará esta; resulta á D. Juan&lt;Garbach©$ ^néltimameñtó'pa^á* laí¡qpe :que&lt;4acvacante eii la^ReaL audiencia-de'Goatemala^ *por %a$láéi©ñ 4 lá* de Cuba do D.&gt;cAgustín Gómez Ochagavia, á D. Joaquíñlbnnez. 1 * ; Para el corregimiento de Quesalte,nango / por haber cumplido su tiempo D. Miguel G…</t>
  </si>
  <si>
    <t>…anc, se dirigió á Ginebra, en donde se halla actualmente. ESPAÑA. Cardeas 30 de Mayo, Continuación de los oficios del Exento. Sr. JO. Pablo Morillo al Sr. capi tán general. 3.0 El coronel D. Juan de los Reyes Vargas me dice desde Nutrias con ‘fecha de 16 del actual lo siguiente: ,,Excmo. Sr.: Tengo el honor de comunicar á V. E. como ayer 15 del corriente batí derroté completamente la división enemiga del insurgente Rangel, con quien se hallaban reunid…</t>
  </si>
  <si>
    <t>…guerrebere 5, D. Domingo Segura 5 , Don Bartolomé Echenique 5 , D. Toribio Espinosa 20, D. Juan Plá 5 , D. Lo renzo Treillan- 5 , D. 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Sres. Perez y C…</t>
  </si>
  <si>
    <t>…ro de D. Juan OKelli, teniente coronel retirado, y á lós acreedores de ambos hermanos, para que en el término de dias acudan á usar de su derecho en los autos de testamentaría del D. Juan, pendientes en este tribunal militar; prevenidos que de rio verificarlo les parará el perjuicio que haya lugar. Por la audiencia del señor D. Manuel Josef de Rubio, del consejo de S M., y teniente corregidor de esta.muy heroica villa, y escribanía de D. Tomas…</t>
  </si>
  <si>
    <t>…pone el de: recho español antiguo y nuevo, reducido á extracto, de todo lo útil y necesario que debe saber todo.letrado para cumplir con la obligación que le impone la ley, por el Sr. D. Juan de la Reguera Valdelomar, del Consejo de S. M. Se hallarán en la li brería de Arribas, calle de las Carretas. Memorias de agricultura y artes, que se publican de órden de la Real junta de gobierno del comercio de Cataluña, cuaderno^ Q y 4 ° del tomo 7.0 Se ve…</t>
  </si>
  <si>
    <t>…do debiendo la Real Hacienda. En los autos de concurso de acreedores al difunto D. Joaquín Bucef r que radi can en el tribunal del consulado de comercio dé Cádiz y escribanías «fe D. Juan dé Fuentes,, se ha dictado providencia» por la cual se manda cjtar-y emplazar á eualqaié-</t>
  </si>
  <si>
    <t>Juan, Pedro</t>
  </si>
  <si>
    <t>Pedro Juan</t>
  </si>
  <si>
    <t>…Cuenca , para el. uso de la insignia de la cruz de caballero de la Espuela dorada con que S. S/ le ha condecorado. Se cita, llama y emplaza á lós acreedores de la testamentaría de D. Pedro Juan dé Reclu&amp;a, que no han: Comparecido , para que en el perentorio término de 30 dias' lo hagan por sí ó por medio de apoderado con el competente póder ante él Sr. Don* Manuel Josef de Arbizu, del Consejo de S. M., alcaide de su Real Casa y Corte,</t>
  </si>
  <si>
    <t>Juan.Qqajardo</t>
  </si>
  <si>
    <t>…franqueó a jos rebeláis el punto guardaba , y^P©íraqdo por él, se apoderaron el dia 8 efe Iais ar mas y de .Ja fatigada .tropa, co^tietiend0 la maldad de arcabuQear al coman dante D. Juan.Qqajardo ,&lt;?a pitan. del batallón ligero de Querétaro » al tenien te del de México D. Nicolás. Lazcano, up oficial del regimiento de Fernan do vn , que estaba allí de tránsito, y. su asistente,y a'l subdelegado del partir do D. Tomas d© los, Ríos, en venganza de haber…</t>
  </si>
  <si>
    <t>Juana</t>
  </si>
  <si>
    <t>…a y emplaza á todos los acreedores censualistas al precitado concurso., que no se hayan mostrado parte últimamente, y entre ellos a! administra dor.ó apoderado. de las memorias de Doña Juana .Palomares f .para, que en el térmi no .de 30 días, contados desde la publicación de este periódico, comparezcan enosl juzgado civil del indicado Sr. alcalde de Casa y Corte, y referida escribanía , á usar del.derecho que crean convenirles; con apercibimiento…</t>
  </si>
  <si>
    <t>…dirigiré dos secciones que se protejan una á • la otra,. al mandó de los tenientes coroneles p. Antonio Amor y D, Manuel Rincón por el tumbo de S* Cárlos á los Apachites y paso de Doña Juana,. en donde se; me asegura que hay rancherías , y es probable, que hallen algunos de los dispersos; pero deben incorporárseme ppr la noche para dirigir las correríást por los demás puntos! donde se! «rea puedan estar mañana, coya persecución será sin descanso…</t>
  </si>
  <si>
    <t>Juan’</t>
  </si>
  <si>
    <t>…honrar á sus fíeles y humildes vasallos,* y animar de todos modos esta preciosa y general industria dé sus reinos, mando á, su secretario de Estado de Gracia y Justicia el Excmo. Sr. D. Juan’. Tstéban Lozano de Torres comunicar al presidente del honrado,Concejo la Real orden ,■ siguiente : %, .M; r ./'&lt; Jí. n * *, limo. Sr.: Al; Sr* duque presidente del Consejó Real comunico con; es*&gt; ta fecha la R ial orden siguiente: ,yExcmó. $r.: El Rey nuestro…</t>
  </si>
  <si>
    <t>Juárez</t>
  </si>
  <si>
    <t>…esto queden á beneficio de la compañía de realistas de Xerécuaro, por hallarse necesitados de ambas cosas. ,,!S¡o puedo menos de recomendar aV. E. el valor é intrepidez con que el sargento Juárez y los realistas que venían á sus órdenes se arrojaron sobre los rebeldes, por ‘cuyo servicio les considero acreedores á las gracias que la superioridad'de V. E. tenga á bien dispensarles. , , ‘ ,,Diós guarde áY. E. muchos años. Querétaro Enero 21; de 1818.==…</t>
  </si>
  <si>
    <t>Juárez, Higinio</t>
  </si>
  <si>
    <t>Higinio Juárez</t>
  </si>
  <si>
    <t>…as fueron infructuosos mis desvelos, y llegué á di cho Dolores sin haber hallado ni un solo enemigo. b . ■ ' &gt; ,, A las dos de la mañana dél.'dta 4 mandé al capitán rde caballería D. Higinio Juárez saliera con toda la fuerza de su arma para el rancho del Tapona!, con el objeto de sorprender a! cabecilla Ildefonso Villegas y su gavilla: sin embargo de su rápida marcha no pudo Henar mis deseos por haber equivocad» el camino el guia, que llevaba', á causa…</t>
  </si>
  <si>
    <t>Juárez, Josef María</t>
  </si>
  <si>
    <t>Josef María Juárez</t>
  </si>
  <si>
    <t>…21; de 1818.== Excmo. Sr. = Rafael Bracho. = Excmo. Sr. virey D. Juan Ruiz de Ápodaca.” S. E. en vista de este parte ha concedido el grado de subteniente al sar gento de realistas D. Josef María Juárez, y prevenido asciendan á cabos los soldados Francisco Montané y Josef María Veloz , dando las gracias á todos ,por su buen porte. . ■ . ? : , .— 2.0 ,, Excmo Sr.: Remito á las superiores manos de V* E. el parte que me ha dirigido el sargento de Sierragorda co…</t>
  </si>
  <si>
    <t>Jubera, Julián</t>
  </si>
  <si>
    <t>Julián Jubera</t>
  </si>
  <si>
    <t>…a la correspondiente pensión. Con fecha de 24 del corriente mes de Octubre dice desde Querétaro al Excmo. Sr virey, entre otras cosas,el coronel D. Rafael Bracho lo siguiente: „El capitán D. Julián Jubera me ha manifestado verbalmente que el 20 atacó el coronel D. Francisco de Orrantía ai traidor Mina en el valle de San tiago , y que él con su partida de 80 caballos ló acompañó en esta empresa, logrando dispersar enteramente á la canalla, causándole un muerto…</t>
  </si>
  <si>
    <t>Juez</t>
  </si>
  <si>
    <t>…aquel, fue rechazado, perseguido, derrotado, y dispersó á una gran distancia de la retaguardia de su línea. La caballería dé la derecha del enemigo se dirigió á atacar al teniente coronel Juez, quien con la serenidad que acostumbra los re-, chazo en tres cargas que le dieron, á pesar de haber sido reforzados con los escuadrones que se hallaban de reserva. Los triunfos de nuestra caballería , y la. serenidad con que cargo á la bayoneta nuestra infan…</t>
  </si>
  <si>
    <t>Juez, Juan</t>
  </si>
  <si>
    <t>Juan Juez</t>
  </si>
  <si>
    <t>…á las del capi tán D. Ramón García: aja izquierda de Castilla el segundo escuadrón de hú-* sares, conf ¡n, misma fiieyza que el: primero, á las del teniente coronel coman—: dante D. Juan Juez. Las voces de viva el Rey, el armonioso estruendo de los clarines, cornetas, tambores y mímica fue la señal de avanzar. Los enemigos rompieron Un fuego horroroso de fusilería y artillería ; pero mis columnas con armas á discreción, y ia caballería con sable a…</t>
  </si>
  <si>
    <t>Juliá, Lorenzo Garrido y</t>
  </si>
  <si>
    <t>Lorenzo Garrido y Juliá</t>
  </si>
  <si>
    <t>…cias. S. M. manifestó particular complacencia durante todo el acto, y quedó muy satisfecho de los adelantamientos de los niños, igualmente que de la ca pacidad y zelo del referido profesor D. Lorenzo Garrido y Juliá, quien se dis tinguió asi en las preguntas que hizo, explicación de cuantos puntos se ofre cieron , y demostración de ellos en el encerado, como en cuanto tuvo que dictar. Finalmente entre los repetidos vivas y aclamaciones dirigidas á S. M. por unos y otros…</t>
  </si>
  <si>
    <t>Julián</t>
  </si>
  <si>
    <t>…D. Josef Cavarn'iles, deíjConsejo de S. M., su alcalde de casa, corte y provincia,)' escribanía de D. Miguel Josef García de la Madrid, ó á los descendientes legítimos del propio D. Julián, para que en el término de tres meses, contados desde la publicación en la gaceta y diario de esta corte de los testimonios de este edicto, que se fijarán tam bién en los parages acostumbrados de la misma, comparezcan en dicho juzgado y citada escribanía á de…</t>
  </si>
  <si>
    <t>…illo del Perú ¿ en atención á sus distinguidos méritos y circunstancias. . ? ■ "■ » — . i .i1;■r ■ ■ i . - r vti'~t** ■ ■■■ i^ ——T n iiMii.» ■ — : ’ En:el juzgado.de provincia del Sr. D. Julián de-Agudelo y Cespedes, del Con sejo de S. M., su alcalde del crimen de la Real audiencia de Sevilla, y escribanía de D. Antonio Domínguez,-se halla juicio de abintestato á los bienes de O. Juan Lipp, teniente coronel graduado, y capitán que fue del regimiento…</t>
  </si>
  <si>
    <t>Julián, Pedro</t>
  </si>
  <si>
    <t>Pedro Julián</t>
  </si>
  <si>
    <t>…haber comparecido les parará el perjuicio-, que haya lugar. En virtud de providencia del Sr. D. Ramón Satue, del Consejo de S. M., su alcalde de Real Casa y Corte, á instancia de D. Pedro Julián y Doña Sebastiana Pa-: ris, hijos y herederos de D. Miguel Tomas París, uno de los acreedores graduados etiv el quinto lugar en la testamentaría de D. Manuel Calixto del Campo, se citar llama y emplaza á los demas acreedores graduados en el mismo lugar&gt; que lo son Dona Jo sefa Mar…</t>
  </si>
  <si>
    <t>Julián, Pedro Perez San</t>
  </si>
  <si>
    <t>Pedro Perez San Julián</t>
  </si>
  <si>
    <t>…ronel D. Ramón Soto, capitán del mismo cuerpo, y dispuse al momento que 100 hombres de él y 200 del regimiento infantería de Zarago za, á las órdenes del teniente coronel graduado D. Pedro Perez San Julián, capitán de granaderos del propio cuerpo, marchasen con prontitud hacia aquella parte para que en ella hiciesen la mayor oposición al enemigo, y obrase en todo lo demas según le dictase su prudencia y pericia militar. ,, Advertí á este propio tiempo que princ…</t>
  </si>
  <si>
    <t>Julián, Pedro S.</t>
  </si>
  <si>
    <t>Pedro S. Julián</t>
  </si>
  <si>
    <t>…rlos, fieles del Potosí, y una partida de Nueva-Galicia que se hallaba en Silao, dejando en el expresado pueblo al capitán de granaderos de Zaragoza, graduado de teniente coronel, D. Pedro S. Julián con la infantería y resto de caballería que no podía seguir la marcha. ,, A las 7 de la mañana del 27 llegué al citado rancho del Venadito con la referida fuerza de caballería sin ser sentido de las avanzadas enemigas, res pecto á haber hecho la marcha por ve…</t>
  </si>
  <si>
    <t>JuliánJNiéves</t>
  </si>
  <si>
    <t>…mandantes de escuadrón D. Felipe Farjas y D. Josef Martínez; los capitanes D. Juan Sánchez, D- Basilip Castillo, D. Ignacio Pino, D. Regino Landaeta y D. Juan Bautista Urrutia. El capitán D. JuliánJNiéves, y el te niente de S. Francisco de Tisnádos con su valiente escuadrón se Excedieron á ¿uantq puede, exagerarse, como igualmente el campo volante del Pao, á las órdenes del teniente Estéban Rado, El teniente de dragones de la Union Don; Behito. Franco,es digno…</t>
  </si>
  <si>
    <t>Junco, Pedro</t>
  </si>
  <si>
    <t>Pedro Junco</t>
  </si>
  <si>
    <t>…a, del Consejo de S. M., su alcalde de Casa y Corte, y escribanía de provincia y comisiones de la misma, del cargo de D. Manuel López de Rivas, se halla pendiente una instancia de D. Pedro Junco, de esta vecindad, y dueño de una casa sita en la calle del Lobo , níitn. 19, de la manz. 217, contra D. Josef Ignacio de Acevedo y Uluapa, inquilino que fue de un cuarto principal de ella, sobre pago de sus inquilinatos; y hallándose consig nados por este, d…</t>
  </si>
  <si>
    <t>Junquito, Josef de Mena y</t>
  </si>
  <si>
    <t>Josef de Mena y Junquito</t>
  </si>
  <si>
    <t>…, el aspecto lisonjero que presenta la casa, y todas las mejoras que se advierten,son debidas al zelo infatigable, discreción y tino con que gobierna esta Real casa su director el Sr. D. Josef de Mena y Junquito , tesorero y canónigo de esta santa iglesia ; á cuyo desvelo, perenne asistencia y caridad ardiente debe el Estado unos individuos que sin sus cuidados no pasarían de la primera edad. Madrid 1° de Abril. ARTICULÓ DE OFICIO1. El Rey nuestro Señor se ha dignado…</t>
  </si>
  <si>
    <t>Justo, Mauricio</t>
  </si>
  <si>
    <t>Mauricio Justo</t>
  </si>
  <si>
    <t>…ejo de Castilla se ha man dado publicar por término de 15 dias el arrendamiento de los productos de la Real mejorarla acuda al juzgado de pt ,de Ca$a;y Corte, por ia escribanía de D. Mauricio Justo déi B-?ncon: en Iá inteli gencia de que p^ra su remate se ha señalado el dia 4 dél próximo mes de Julio á las | t en punto .de su ¡mañana.</t>
  </si>
  <si>
    <t>Kanitz</t>
  </si>
  <si>
    <t>…de S. A. ei Príncipe Real. Lleva S. M. en su comitiva al duque Car los de Mecklenbourg-Strelitz, al gran escudero Jagow, á sus ayudantes de campo, al coronel Branchlsch, al mayor conde Kanitz, al mayor Malachowski, al coronel Witzleben, al consejero de Cámara Albrecht y al doc tor Wicbel, médico de Cámara y del Estado mayor; y el Príncipe Real va acompañado de su primer ayudante el coronel Schack. Luego que llegue S. M. á Rusia viajará de incógnit…</t>
  </si>
  <si>
    <t>King</t>
  </si>
  <si>
    <t>…a aun el rio mas de 400 pies de anchura. El terreno por donde corre el expresado rio es una llanura que se pierde de vista, y la marea sube á mucha distancia. No ha en contrado el capitán King á Mr. Freicinet. Este importante descubrimiento parece que presenta un nuevo medio para internarse en el continente de la nueva Holanda, tierra desconocida, y que si no en el todo, á lo menos en la mayor parte era inaccesible hasta el presente. Es tan grande…</t>
  </si>
  <si>
    <t>Koechel</t>
  </si>
  <si>
    <t>43? á Saltzburgo é Inspruck hasta el 13 del mismo. Mañana saldrá su comitiva, y su escudero mayor el profesor Koechel se trasladará á Milán con 70 de sús mejores caballos. Su guardia debe haber llegado ya á esta hora á Milán , en donde S. A. I. tendrá una corte brillante. SS. MM* el Emperador y la Emperatriz deben salir de aquí el dia 10 para trasladarse en derechura á Tries…</t>
  </si>
  <si>
    <t>KologniwofF</t>
  </si>
  <si>
    <t>…a proteger el comercio con tra los corsarios insurgentes de América. Se halla en esta rada una escuadra rusa, compuesta de un navio de 70 ca ñones y de tres fragatas, al mando del caballero KologniwofF, que viene de Arcángel, y se dirige á Cronstadt. Idem 30. El día 23 del corriente la viuda de un artesano, cuyo marido había muerto hace unos seis meses , dio á luz de un parto cuatro niños enteramente sanos, los cuales han sido bautizados: á los tres primero…</t>
  </si>
  <si>
    <t>Kosciusko</t>
  </si>
  <si>
    <t>…el gran duque Constantino, y se cree que S. A. I. volverá dentro de dos meses. , ; El dia 20 del corriente se celebrarán en Cracovia con la mayor pompa y aparato los funerales del general Kosciusko. Mr. Zeltner, ministro que fue de la república Helvética cerca de la corte de Francia, y que acompañó hasta Cracovia al cadáver de este general, su antiguo aniígo, se ha vuelto estos dias á Suiza penetrado del sentimiento que le ha causado esta pérdida. • ¡ ■…</t>
  </si>
  <si>
    <t>Koskull</t>
  </si>
  <si>
    <t>…adodel barónCederstroem, gobernador de la capital, y gefe del estado mayor de la escuadra, y del consejero de Estado conde Moerner. El Rey lleva en su comitiva al conde Brahe y al barón Koskull, y el Príncipe Real en la suya al conde Posse. En su vi age atravesarán S. M. y A. R. la Westro-Gothia para ver el nuevo canal que se está construyendo allí; pero no irán ahora á Gothemburgo, dejando, según se dice, para su regreso la ida á dicha ciudad, que…</t>
  </si>
  <si>
    <t>Kotzebue</t>
  </si>
  <si>
    <t>Num. i [5 cuartos.] ti í GACETA DE MADRID DEL JUEVES i.° DE ENERO DE 1818. ^ &lt; ' ' . * • í j 1' í f&gt; . ’ t RUSIA, . .... ** . , , Petersburgo 31 de Octubre, El teniente Kotzebue, comandante de la expedicioamarítima que sa!ia el año pasado á hacer descubrimientos, ha dirigido un informe ai canciller conde de Romanzow, cuyo extracto es el siguiente: ■' „Segun las instrucciones dadas al teniente Kotzebue debía salir el año de 1817 de la…</t>
  </si>
  <si>
    <t>…a ceremonia derramó abundantes jrágrimaSjd^^térppr^. Hani «ido padrinos el conde Julio de Polignac , par dePVáhcia, y su”esposad . . . - ' El bergantín ruso el Rurtk, al mando del teniente Kotzebue, que ha es</t>
  </si>
  <si>
    <t>…de la Magdalena^ en Spitzberg, por los 79° 34" de latitud (de Greenwich). Tanto los buqués como las tripulaciones iban en buen estado.' ' El bergantín ruso el Rurick al mando dei teniente Kotzebue, qúe llegó á Portsmouth hace tres semanas j ha estado navegando dos años y 11 meses con el objeto de hacer descubrimientos. La tripulación no ha padecido alteración, alguna en su salud; pera el buque ha tenido que arribar a Portsmouth para, refrescar los víve…</t>
  </si>
  <si>
    <t>…s re sultados del viage del bergantín Rurick correspondan, como me manifestáis en vuestra carta, al ardiente deseo que os anima en favor de las ciencias; y ten dré muy presente al teniente Kotzebue y á sus compañeros de viage para cuan do el ministro de Marina me informe mas circunstanciadamente de sus méri tos. Vuestro afecto = Alejandro” PRUSIA. Aquisgran ij de Noviembre* Anteayer dio el Emperador de Rusia ün gran convite de 6o cubiertos, at cual asis…</t>
  </si>
  <si>
    <t>Kotzebuej</t>
  </si>
  <si>
    <t>…o ha mandado equipar cuatro transportes de 300 tonela das cada uno, destinados á hacer descubrimientos en el norte de América* de Europa y del Asia. El viage marítimo hecho por el teniente Kotzebuej oficial de Ha marina rusa, y las relaciones de los marineros ingleses emplea dos en la pesca de Groenlandia, han estimulado al Gobierno á hacer nuevas tentativas para encontrar un paso por el N. O. de América. FRANCIA. ' París de Diciembre* ' * .Escriben de M…</t>
  </si>
  <si>
    <t>Krasinski</t>
  </si>
  <si>
    <t>…Dieta una exposición de la situación áfctuál del reino; y!en una dé fas sesiones próximas el'consejo de Estado1 presentará otra exposición sobre la administración pública. ~ * El general Krasinski ha prestado ante el Emperador juramento como mamariscal ó presidente de la Dieta. . ‘ A Eñ Rusia sé ha concedido á los ministros dé todos los cultos permiso para llevar una cruz de plata pendiente de la cinta de la orden de Wladimiio, en premio dé los servici…</t>
  </si>
  <si>
    <t>Krasinski, Vicente</t>
  </si>
  <si>
    <t>Vicente Krasinski</t>
  </si>
  <si>
    <t>…En cumplimiento del rescripto de S. M. han llegado ya aqui todos los senadores y diputados nombrados para asistir á la Dieta , de la que se dice que será presidente ó mariscal el conde Vicente Krasinski. Uno de los asun tos mas interesantes que se tratarán en ella será, según se asegura, la for mación de un código civil, pues aun nos gobernamos en el día por el código ir anees. &lt; El desaño del príncipe Adam Czartoriski con el .general Paz se verificó con pis…</t>
  </si>
  <si>
    <t>L, Vicente</t>
  </si>
  <si>
    <t>Vicente L</t>
  </si>
  <si>
    <t>…onal D. Miguel Barragan á la ga villa del rebelde Chiviliny en la hacienda deTomendan el 31 del próximo pa sado Marzo, que comuniqué á V. E. ,,La sección que al mando del teniente coronel D. Vicente L,ara siguió</t>
  </si>
  <si>
    <t>Labarta, Nicasio</t>
  </si>
  <si>
    <t>Nicasio Labarta</t>
  </si>
  <si>
    <t>…la iglesia, me tropolitana de México, sé ha servido S. M. nombrar para dicha dignidad £ D. Andrés Fernandez de la Madrid , tesorero de la misma santa iglesia; para esta dignidad á D. Nicasio Labarta, capellán mayor de las carmelitas des-calzas de México : para una canongía de la iglesia catedral de Arequipa , va cante por. promoción del Dr. D. Josef Sebastian de Goyeneche al obispado He la misma catedral, á D. Juan de Dios Bu Ines ; para la dignidad de c…</t>
  </si>
  <si>
    <t>Labartette, Juan</t>
  </si>
  <si>
    <t>Juan Labartette</t>
  </si>
  <si>
    <t>…atro misioneros clérigos franceses del mismo semina rio y tres franciscanos italianos: 15 sacerdotes del pais: unos 60© cristianos: religión cristiana tolerada: vicario apostólico D. Juan Labartette, obispo de Veren. Siam. Reino de Siam y Queda, islas de Suncelam y Sumatra. Un obispo y tres misioneros clérigos franceses del seminario de París, y un italiano clé rigo seglar: 6 sacerdotes del país: unos 3® cristianos: religión cristiana pro hibida á los si…</t>
  </si>
  <si>
    <t>Labrador, Pedro Gómez</t>
  </si>
  <si>
    <t>Pedro Gómez Labrador</t>
  </si>
  <si>
    <t>…el reino de las Dos Sicilias, y S. A. R. el Infante de España D. Fran cisco de Paula, hijo de S. M. el Rey Cárlos iv, y habiendo S. M. Católica Fernando vii .comisionado al Excmo. Sr. D. Pedro Gómez Labrador, su embajador extraordinario cerca del Rey nuestro Señor, para pedir la mano de dicha Princesa á sus augustos Padres, se egecutó éste solemne acto con to da la pompa correspondiente el 23 del mes próximo pasado. El Sr. Embajador, que se había trasladado á Pal…</t>
  </si>
  <si>
    <t>Lacoizqueta, Juan Josef de</t>
  </si>
  <si>
    <t>Juan Josef de Lacoizqueta</t>
  </si>
  <si>
    <t>…&gt; &gt;■ ... t 1 ~ «■;?—r—---——;—: ■1 , ; "V"1 ....V- ;ti" . — .p»j, Por providencia del consulado de Cádiz-se cita ,y emplaza á cualquiera que se considere con derecho al concurso de D. Juan Josef de Lacoizqueta ,que fue matri culado en el comercio de la carrera de Indias, para que en el perentorio término de un. año comparezca á formalizarlo con los documentos comprobantes;• prevenido que,sin mas citarle se procederá á la cancelación dé las fianzas qué sé hubiesen d…</t>
  </si>
  <si>
    <t>Lacroix</t>
  </si>
  <si>
    <t>…rnos para, estudiar con fruto las matemáticas en general, y según el es tado en que hoy dia se hallan . ninguna de las qíré hásta ahora conocemos és compara ble con la del célebre profesor Lacroix. Están ya impresos y de venta los .tomos i.° y 2.0, que contienen, la aritmética y álgebra,r^éri láJiibreíríár de Sójo , callé de lás Car retas, ái8rs.cada tomo en rústica y 22-en pasta. El tomo 3.0, que comprende la geometría, se publicará á la mayor breveda…</t>
  </si>
  <si>
    <t>Lacroix, Diego Antonio Felicio de</t>
  </si>
  <si>
    <t>Diego Antonio Felicio de Lacroix</t>
  </si>
  <si>
    <t>…blanca y de Falces, condesa de Santistéban, sobre paga de diferentes cantida des de maravedises procedentes de la renta de 500 ducados de vellón en cada uu año, que dejó el Excmo. Sr. D. Diego Antonio Felicio de Lacroix, Peralta y Velasco, marques de Falces, conde de Santistéban, para los hijos legítimos y descen dientes varones y hembras de D. Melchor de Vergara y Viana, por el testamento que otorgó en 25 de Setiembre de 1682 en la villa de Maralla, reino de Navarra, ante G…</t>
  </si>
  <si>
    <t>Ladoux, Antonio</t>
  </si>
  <si>
    <t>Antonio Ladoux</t>
  </si>
  <si>
    <t>…ién han sido heridos el ayu dante D. Víctor Urquiza, y el subteniente D. Juan Santiago, del regimiento de la Union , el teniente de Búrgos D. Antonio Gil, y el capitán de Navar ra D. Antonio Ladoux. El capitán de Granada D. Pió Sánchez Garcés fue contuso. „Los capitanes del regimiento de la Union D. Pascual Churruca y Don Joaquín Dalmau , y el teniente del mismo cuerpo D. Manuel Crespo, estu vieron á la cabeza de sus compañías en la última columna de at…</t>
  </si>
  <si>
    <t>LagaSca, Mariano</t>
  </si>
  <si>
    <t>Mariano LagaSca</t>
  </si>
  <si>
    <t>…ncia se acuerden los españoles que les son deudores del cúmulo de bie nes que su decidido amor á la patria les han procurado. El profesor de botánica general del museo de Ciencias D. Mariano LagaSca dará principio á sus lecciones en el Real jardín Botánico de esta corte el dia 6 de Abril á las cuatro y media de la tarde , y las continuará en di cho jrrdin todos los lunes, miércoles y viernes de cada semana , á la misma hura, hasta fines de Octubre. Por p…</t>
  </si>
  <si>
    <t>Lagasca, Mariano</t>
  </si>
  <si>
    <t>Mariano Lagasca</t>
  </si>
  <si>
    <t>…., y en la biblioteca y herbario del Real Jardín Botánico los correspondientes á botánica ¿ como asis se verificó; mandando ademas que el primer profesor del mismo Jardín Botánico D. Mariano Lagasca publicase, no solo la Quinologia ó tratado de las quinas que tiene trabajado Mutis , sino también todo lo perteneciente á la Flora del reino de la Nueva-Granada. ■ Con estas sabias disposiciones la Europa , que hace ya tantos años que de sea con ansia disfrut…</t>
  </si>
  <si>
    <t>Lához, Tófibio</t>
  </si>
  <si>
    <t>Tófibio Lához</t>
  </si>
  <si>
    <t>…s de ma temáticas de que se tiene ciada noticia; y en su virtud, habiéndolos examina do los directores, y hecha la debida graduación, resultaron premiados en el dibujo dé estatúas D. Tófibio Lához; en el modelo D. Joaquín Exarque; en el dibujo de academias de figuras D. Joaquín Planillo; en el de cabezas DonEduardo* Vicente, D. Josef Sotero de Izaguirre,D. Mariano Larralde y Don Josef Santos; porque aunque no se ofreció sino una medalla, los directores…</t>
  </si>
  <si>
    <t>Lanao, Josef</t>
  </si>
  <si>
    <t>Josef Lanao</t>
  </si>
  <si>
    <t>…tería: la sargentía mayor dé la plaza de Santánder al teniente coronel graduado D. Pedro Suarez Quitos,, capitán del regimiento infantería de la Princesa: la de la plaza de Lima á Don Josef Lanao, capitán del regimiento del Infante D. Carlos, que se halla en aquella plaza: la ayudantía del castillo de la Aljafería de Zaragoza al subte niente D. Fernando Santa Olalla, que servia igual empleo en el castillo de S. Felipe de la ría del Ferrol; y la del de…</t>
  </si>
  <si>
    <t>Landaburü, Josef Gregorio de</t>
  </si>
  <si>
    <t>Josef Gregorio de Landaburü</t>
  </si>
  <si>
    <t>444</t>
  </si>
  <si>
    <t>…tecesores, y producen 2088 rs., sin contar con las visitas J demas emolumentos eventuales: el todo compone la renta anual de 102487$. Los pre tendientes dirijirán sus memoriales á D. Josef Gregorio de Landaburü, síndico pro-, curador general de dicha villa, y se admiten hasta el 20 dei corriente. Destierro de ignorancias y aviso de penitentes, primera, segunda y tercera parte, compuesto por el P. Fr. Alonso Vascones, predicador y guardián del convento de Sta. María…</t>
  </si>
  <si>
    <t>Landaeta, Calixto</t>
  </si>
  <si>
    <t>Calixto Landaeta</t>
  </si>
  <si>
    <t>…ieron en S. Fernando el teniente de Numancia D. Francisco Argona, los subtenientes del propio cuerpo D. Juan Antonio Galiani y Don Joaquín Villamil, y el de igual clase de Barinás D. Calixto Landaeta. Tam bién se Ies han cogido dos banderas, de las cuales una me presentó el soldado de lanceros del Rey Lucas Rojas; todo el equipage de los gefes y oficiales, in cluso el de Bolívar, tirando este en su retirada el doíman y, gorra que lleva ba puesta por no se…</t>
  </si>
  <si>
    <t>Landaeta, Regino</t>
  </si>
  <si>
    <t>Regino Landaeta</t>
  </si>
  <si>
    <t>…isposiciones los tenientes coroneles gra duados comandantes de escuadrón D. Felipe Farjas y D. Josef Martínez; los capitanes D. Juan Sánchez, D- Basilip Castillo, D. Ignacio Pino, D. Regino Landaeta y D. Juan Bautista Urrutia. El capitán D. JuliánJNiéves, y el te niente de S. Francisco de Tisnádos con su valiente escuadrón se Excedieron á ¿uantq puede, exagerarse, como igualmente el campo volante del Pao, á las órdenes del teniente Estéban Rado, El teniente de dragones de la Union…</t>
  </si>
  <si>
    <t>Lander, Juan</t>
  </si>
  <si>
    <t>Juan Lander</t>
  </si>
  <si>
    <t>…no Palacios 6yD. Juan • Josef Bahamondé 6 , D. Manuel García de Noda 2 , D. Francisco Cartagena 6, jb. Jaime Cedo 4, D. Manuel Franco y, D. Ignacio Sosa 6, D* Bernardo Ferrara 6 , D. Juan Lander 4, Doña María Gerónima Tovar 4, D. Andrés . de Ibarra 1, D. Juan de la^ Madriz: 3 , D.; Josef María Madriz. 1, D. Juan Josef Rivas y Pacheco 2, D. Lorenzo Lasa 8, D. Fernando Solórzano 10, tÍ), Pedro Goitzalez/.i A J), JosefrtMaríf Monserrafe^D* Josef, María…</t>
  </si>
  <si>
    <t>Langenau</t>
  </si>
  <si>
    <t>…se sabe si se dilatará algún tiempo con motivo de haberse diferido por doce dias la reunión de los Monarcas en Aquisgran. Los consejeros áulicos condes de Mercy y de Spiegel y el general Langenau están esperando en Egra, y el consejero Gentz, que se ha quedado aqui, saldrá en breve para ir también á Aquisgran.</t>
  </si>
  <si>
    <t>…o, . Por cartas de Frantzbrunn junto á Egra se sabe que se hallan reunidos en aquel pais los personages siguientes: el príncipe de Metternich, los condes de Spiegel y de Mercy, el general Langenau, el conde de Zichy, enviado ex traordinario de Austria ála corte de Prusia, que fue el encargado de avisar el «¿ia en que debía verificarse el congreso de los Soberanos en Aquisgran. El consejero áulico de Gentz se halla todavía en Carlsbad, desde donde irá á…</t>
  </si>
  <si>
    <t>Lantaño, Clemente</t>
  </si>
  <si>
    <t>Clemente Lantaño</t>
  </si>
  <si>
    <t>…o habiendo hecho ningún prisio nero á los enemigos, pues todos fueron muertos. Dios guarde á v . muchos años. Cuartel general en Camarico á 16 de Marzo de i8i8.=Mariano Oso»iio. = Sr. D. Clemente Lantaño.” a°. El Sr. general en gefe con fecha 19 del actual me dice lo que copio; ,,Es Ja una y cuarto de la noche, y todavía sigue persiguiendo el victorio so egército del Rey á los enemigos, que van en una derrota completa: hasta ahora los artículos que se les han…</t>
  </si>
  <si>
    <t>Lapouchin</t>
  </si>
  <si>
    <t>…de 7 de Mayó de 1817, y del reglamento que le acompaña, tuvo su primera sesión el 22 del mes próximo pasado bajo la presidencia del actual consejero privado de la primera clase el príncipe Lapouchin. Los individuos permanentes del consejo que asistieron fueron el actual consejero privado GouriefF, ministro de Hacienda; el consejero privado barón de Kampenhausen, contador general del imperio, y el consejero privado y senador príncipe Schakouskoy. Los indi…</t>
  </si>
  <si>
    <t>Lar, Agustín</t>
  </si>
  <si>
    <t>Agustín Lar</t>
  </si>
  <si>
    <t>…on los1 Srés. D. Tgnacid Jáuregui, primer médico de CámaradeS.M.; D. «Agustín Mestre * boticario! mayor; D. Andrés Alcon, catedrático, de química del Real colegio.de Far^ macia, y D. Agustín Lar i ca , capellán de honor de S. M. ' ^ • .7 : " _ i —’- - ' ' " «" !■ ’ ' .. •' ' i ¡ ~ -i-iii. ARTICULO D E OFICIO. •' • . r ... • El Rey- nuestro. Señor y que el- año próximó -pásadoidió ürt testimonio* pú blico de su soberano aprecio á los beneméritos' defé…</t>
  </si>
  <si>
    <t>Lara, Jorge de</t>
  </si>
  <si>
    <t>Jorge de Lara</t>
  </si>
  <si>
    <t>…ala segunda de Justicia se hallan pen dientes autos en grado de apelación contra D. Juan Brikdale, comandante que fue del tercer batallón del regimiento de infantería de Hibernia, D. Jorge de Lara y Don Pedro López de Castro, teniente comandante y escribano del resguardo de rentas del Ferrol , sobre comiso de varios géneros de ilícito comercio que se aprehendieron al primero, é infidencia que se atribuye á los segundos en el acto que la verificaron; cuyos autos habiendo alegado l…</t>
  </si>
  <si>
    <t>Lara, Luis</t>
  </si>
  <si>
    <t>Luis Lara</t>
  </si>
  <si>
    <t>122 D. Luis Lara y D. Vicente Sola con otra persona fueron tan tímidos al salir de la casa fuerte, que no osaron seguir en su marcha á los soldados; y ha biéndose vuelto á ella fueron cogidos por los enemigos , y pasados por las armas inmediatamente. „ Noticioso entonces el gobernador de esta…</t>
  </si>
  <si>
    <t>Lara, Vicente</t>
  </si>
  <si>
    <t>Vicente Lara</t>
  </si>
  <si>
    <t>…s Martin y Aguirre, por los que vera V. E. el estado en que se hallaba á aquella fecha el sitio de Jaujílla , y la derrota tan gloriosa para las armas del Rey .que dió el teniente coronel Don Vicente Lara al infame P. Torres, debiéndose esperar por:momentos la des trucción total de aquel fuerte, cuya noticia comunicaré á V. E.íen ef ins* tan te mismo en queda reciba. „ Dios guarde á V. E. muchos años. Valladolid 8 de Febrero de 1818 á las 10 y media de la maña…</t>
  </si>
  <si>
    <t>…uéstro Señor al Sargento mayor D. Josef dé Castro por su cuidado / y al coroñeí D/Matías Martin y Aguirre por.sus útiles disposiciones;-previniendo á* este géfé fas dé al teniente coronel D. Vicente Lara, oficiales y tropa que se han hallado en la acción , cuyos pormenores desea lleguen cuanto antes para : premiar á, lo? ¿jue sé.hayan distinguido en ella; concediendo.desdé luego ¿o g fado de egérr cito al expresado teniente coronel graduado de milicias D. Vic…</t>
  </si>
  <si>
    <t>…de Mayo. , Continuación de los partes de Nueva-Es paña. VALLA DOLID. Oficio del coronel y comandante D.-Matías Martin y Aguirre. „Excmo. Sr.: Desde Patzcuaro me avisa él teniente coronel D. Vicente Lara que dispuso salir con 100 caballos en la noche del, 25 á emboscarse en los pueblos de Cinzuzan y Cocüpao para ver si lograba sorprender al re belde Juan María, y consiguió. solamente coger- cuatrorebeldes armados y montados, y quitar 40 cargas, de, algodón-qu…</t>
  </si>
  <si>
    <t>Laris, Mariano González</t>
  </si>
  <si>
    <t>Mariano González Laris</t>
  </si>
  <si>
    <t>…y D. Mariano Mondragon. Fieles de S. Luis: capitán graduado de teniente coronel D. Ni colás Zarzosa; teniente graduado D. Patricio Gutiérrez. Nueva-^Galicia : ca-, piran graduado D. Mariano González Laris; alférez D. Mariano Becerra. Realistas de Apan: capitanes D. Joaquín Espinosa y D. Josef Ortiz; tenien tes D. Isidro Espinosa y D. Josef Castillo , y alférez D. Rafael Salinas. ,, Asimismo mis ayudantes de campo capitán de Zaragoza D. Pedro Gar^, cía Paredes,…</t>
  </si>
  <si>
    <t>Larraganel, Guillermo</t>
  </si>
  <si>
    <t>Guillermo Larraganel</t>
  </si>
  <si>
    <t>…dtica castellana: á D. Joscf Ma ría Agu'irre, yá D. Manuel Jane el accessit.Dibitjo: á D. Juan Poey, y i D. Carlos Espinóla el áctessil. Escritura .* á í). Josef Manuel César ,y á Don Guillermo Larraganel accessit. Lectura : á D. Victoriano Pastor ., y á Don Pascuai Meñdive el accessit.-.Doctrina.cristiana:.a ÍX Josef'Antonio CabaJlero ,y á D. Simón Inchausti el accessit. Y concluida la distribución el mis mo corregidor en una corta arenga hizo pública la acep…</t>
  </si>
  <si>
    <t>Larragoiti, Antonio de</t>
  </si>
  <si>
    <t>Antonio de Larragoiti</t>
  </si>
  <si>
    <t>…primeros por haber hecho guardar a sus subordinados la disciplina mas rígida. „Dios guarde á vmd. muchos años. Salvatierra y Octubre 24 de 1817.= Josef María Soria.e=Sr. teniente coronel D. Antonio de Larragoiti.” i TOLUCA. Oficio del teniente coronel Z&gt;. Francisco Aran dia. ,,Excmo. Sr.: Ausente el teniente coronel D. Nicolás Gutiérrez, antes de ayer viernes, á las 10 y media de la uoche, recibí la extraordinaria, fecha del mismo dia, que V. E. mandó i dicho gefe co…</t>
  </si>
  <si>
    <t>…arse por la mejor de las causas de estos fieles realistas acreditado fre cuentemente. &lt; ,,Dios guarde á vmd. muchos años. S. Josef Febrero 7 de 1818 = Valen tín Vera.=$r. teniente coronel D. Antonio de Larragoiti.” TOLUCA. Oficio del teniente coronel y comandante D. Nicolás Gutiérrez. ,,Excmo. Sr.: [Que momento de alegría se le presenta al magistrado cuan do entregado todo a la utilidad pública ve cumplidos sus afanes y providen cias ! Este considero en V. E. con la p…</t>
  </si>
  <si>
    <t>…a abrir los ojos á .los que hasta aqui han sido tan incrédulos. ESPAÑA. México ij de Marzo. Continuación de los partes de Nueva-dispaña. SALVATIERRA. Oficio del teniente coronel y comandante D. Antonio de Larragoiti. ,,.Excmo. Sr.: Paso á las superiores manos de V-E. por principal el parte que el comandante del destacamento de S. Josef, teniente del batallón infante ría de Celaya D. Valentín Vera, me da con fecha 7 del actual, consecuente á la aprehensión del titulado ca…</t>
  </si>
  <si>
    <t>Larragoitu, Antonio</t>
  </si>
  <si>
    <t>Antonio Larragoitu</t>
  </si>
  <si>
    <t>…ños. Zinguilucan Octubre 21 de 1817.= Francisco Trespalacios. = Sr. coronel y comandante general D. Manuel déla Concha." ‘ SALVATIERRA. ' * . * ' ’ 1 Oficio del teniente coronel y comandante D. Antonio Larragoitu v Excino. Sr.: Acompaño á V. E. por el principal el parte que me da el capitán del regimiento de dragones del Príncipe D. Jo^ef María Soria sobre el resultado que tuvo la correría que le ordené el 22 del corriente. Los 4 ca ballos aprehendidos á los rebeldes…</t>
  </si>
  <si>
    <t>Larrainzar, Fermín López</t>
  </si>
  <si>
    <t>Fermín López Larrainzar</t>
  </si>
  <si>
    <t>…rido el examen, queriendo los censores hacer justicia al mayo? faérito, de*clararon sobresalientes en escribir á Vicente Barbero, Leandro Odriozofa, Josef Pardo, Henrique Gaitero, D. Fermín López Larrainzar, cabaUero caaete de artillería, de edad de 8 años, Pió.Carbajosa Somorrostro, Ignacio González y Simón Hernández; y en leer y doctrina cristiana á ios dichos; á Vicente y Félix de Lázaro, Andrés y Josef Soler, Eustaquio Rozas, Jub ilan de S. Juan, Ricardo Men…</t>
  </si>
  <si>
    <t>Larralde, Mariano</t>
  </si>
  <si>
    <t>Mariano Larralde</t>
  </si>
  <si>
    <t>…úas D. Tófibio Lához; en el modelo D. Joaquín Exarque; en el dibujo de academias de figuras D. Joaquín Planillo; en el de cabezas DonEduardo* Vicente, D. Josef Sotero de Izaguirre,D. Mariano Larralde y Don Josef Santos; porque aunque no se ofreció sino una medalla, los directores los juzgaron dignos de esta recompensa, y la academia condescendió con su propuesta; En el dibujo’de principios se adjudicáronlos premiosa D. Joaquín Gironzá' y á D. Josef Val. Hecha la expresada a…</t>
  </si>
  <si>
    <t>Larrañaga, Martin Josef de</t>
  </si>
  <si>
    <t>Martin Josef de Larrañaga</t>
  </si>
  <si>
    <t>…vales Reales, uno de 150 pesos de Enero de 1808, núm. 2397785, y los otros dos de 300 pesos de Mayo de 1808, núms. 435473 y 452215, los que se hallan retenidos por reclamación de D. Martin Josef de Larrañaga, vecino de Ja villa dé Beasáin, para que dentro del expresado término comparezcan por sí, ó por medio de procurador, y en forma, á usar del .derecho que crean asistirles ante dicho señor; con apercibimiento de que pasado sin haberlo hecho íes parará el per ju…</t>
  </si>
  <si>
    <t>Larrazabal, Agustín de</t>
  </si>
  <si>
    <t>Agustín de Larrazabal</t>
  </si>
  <si>
    <t>189</t>
  </si>
  <si>
    <t>…s que ha com prado para la guardia del Dey. ESPAÑA. Lima 22 de Agosto. Ayer fondeó en este puerto del Callao la fragata de este comercio Cata lina , alias Tagle, capitán y maestre D. Agustín de Larrazabal: salió del de Cádiz el'6 de Mayo convoyada por la fragata de guerra española Esmeral da , y los transportes siguientes: S. Josefy alias el Rey Fernando y de la Real compañía de Filipinas, la Minerva, la Vigarrena, la Primorosa Mariana, S. Juan Bautista, la Co…</t>
  </si>
  <si>
    <t>Larrazabal, Juan Santos de</t>
  </si>
  <si>
    <t>Juan Santos de Larrazabal</t>
  </si>
  <si>
    <t>…que se han remitido para el servicio de las tropas del brigadier D. Francisco Tomas Morales. ■ • El conde de la Granja 6 pesos, D. Pablo Echezuria 10, D. Francisco de Azpurua 20 , D. Juan Santos de Larrazabal 5, D. Josef Jesús Goenaga 10, D. Miguel Martínez 5, D. Pedro Aguerrebere 5, D. Domingo Segura 5 , Don Bartolomé Echenique 5 , D. Toribio Espinosa 20, D. Juan Plá 5 , D. Lo renzo Treillan- 5 , D. Francisco Espelosin 10, D. Miguel Portillo 5 , Don Juan: Hernánd…</t>
  </si>
  <si>
    <t>Larrea, Josef</t>
  </si>
  <si>
    <t>Josef Larrea</t>
  </si>
  <si>
    <t>…acto. Habiendo sido examinados los alumnos con toda escrupulosidad, se pro cedió á la adjudicación de premios, que se distribuyeron á los sügetos si guientes: D. Lúeas Escribano, D. Josef Larrea, D. Raimundo Lecina , Doii Vicente Higueras y D. Pascual Vicente. Fue también considerado digno de premio D. Antonio Ximeno; y mientras el muy ilustre gobernador dió á cada uno su premio, la música cantó unas letrillas en honor de los premiados. Dió en fin la…</t>
  </si>
  <si>
    <t>Larriátegui, Josef María</t>
  </si>
  <si>
    <t>Josef María Larriátegui</t>
  </si>
  <si>
    <t>…los 1© rs. por D. Miguel de Corres, vecino de esta corte , en virtud de libra mientos de dicho general Empecinado, intervenidos por el comisario de guer ra que fue de su división D. Josef María Larriátegui, quien presentó en la</t>
  </si>
  <si>
    <t>Larrondo, Juan</t>
  </si>
  <si>
    <t>Juan Larrondo</t>
  </si>
  <si>
    <t>…rincipales dél pueblo capitán D. Francisco Delgado, teniente Don Luis.Vieira, administradorde correos D. Corneüo Roaro, D. Camilo Cama» cho, D. AntonioRecalde, D. Manuel Herrero * D. Juan Larrondo y D. Vicente. Arana, por la prontitud con que facilitaron sus sirvientes, armas y caballos. y, Dios guarde á vmdL muchos años. Acambaro Enero 19 de 1818. = Ramon García y Reguera.z=Sr. sargento mayor D. Josef de Castro ” • - S. E. en vísta,dé esté parte ha mandado darías…</t>
  </si>
  <si>
    <t>Lartigaj, Leonardo de Veyan y</t>
  </si>
  <si>
    <t>Leonardo de Veyan y Lartigaj</t>
  </si>
  <si>
    <t>…ínguez: para la del Viso, en la Mancha , á D. Josef París y Romero : para! ia de Villafranca del Vierzo á D. Josef García Alfonso, alcalde mayor de Villablino: para la de Torres á D. Leonardo de Veyan y Lartigaj y para la de Alcalá de los Gazules en comisión á D. Serafín Velazquez. El Rey nuestro Señor &gt; á consulta del Real Consejo ) se ha servido con-</t>
  </si>
  <si>
    <t>Lartigue, Juan</t>
  </si>
  <si>
    <t>Juan Lartigue</t>
  </si>
  <si>
    <t>…ad característica á cuantos han tenido la honra de besar su Real mano La junta suprema de Represalias, por su decreto de 3 del corriente, lia resuelto se cite y emplace al francés D. Juan Lartigue, 6 sus herederos legíti mos , para que en el preciso término de dos meses comparezcan á usar del de recho de; que se consideren asistidos á la propiedad de una casa y huerta que en las inmediaciones del puerto dé Santander construyo dicho Lartigue , y de jó a…</t>
  </si>
  <si>
    <t>Lasa, Fermín</t>
  </si>
  <si>
    <t>Fermín Lasa</t>
  </si>
  <si>
    <t>…nio Iribertegui, siendo meritorios D. Carlos Zua^ ti, D. Benito Ojer y D. Domingo Ramírez. En la clase superior de latinidad obtuvo el premio primero D. Justo Pe rez; y el segundo D. Fermín Lasa, siendo meritorios D. Domingo Muguerza, D. Josef Id ion da, D. Francisco Goñi, D. Xavier Sanz López y Don Benito Munduate. Ultimamente en la clase de humanidades ó retorica logró el primer pre mio D. Marcos Velaz; y el segundo D. Romualdo Sasa, siendo meriror…</t>
  </si>
  <si>
    <t>Lasa, Lorenzo</t>
  </si>
  <si>
    <t>Lorenzo Lasa</t>
  </si>
  <si>
    <t>…Bernardo Ferrara 6 , D. Juan Lander 4, Doña María Gerónima Tovar 4, D. Andrés . de Ibarra 1, D. Juan de la^ Madriz: 3 , D.; Josef María Madriz. 1, D. Juan Josef Rivas y Pacheco 2, D. Lorenzo Lasa 8, D. Fernando Solórzano 10, tÍ), Pedro Goitzalez/.i A J), JosefrtMaríf Monserrafe^D* Josef, María Mu A Josef Ramo» ro 2, D. Esteban de Ponte í^anciscq^Sosajarrera j Zúlüeta i, 13. Miguel Salzaineridf5’,* D. Bernardo Butragueño 3, D. Bemarr?</t>
  </si>
  <si>
    <t>Lasala, Pedro</t>
  </si>
  <si>
    <t>Pedro Lasala</t>
  </si>
  <si>
    <t>…edaron en Zaragoza en poder del Go bierno intruso, se servirá, avisarlo en é&amp;ta córte á D. Rafael Pueyó, présbíteroV^üé vive en los portales de S,. Isidro, num. 12 ; en Zaragoza á D. Pedro Lasala, y en F*agá de Aragón al expresado pV Melchor Yillanuevá. Está vacante él partido de médico de Montenegro de Cameros, cuya dotación son 6&amp;rsr-vn. anuales, cobraáps y pagados mensual mente. Lqs pretendientes dirigirán sús memoriales al ayuntamiento antes del ¿…</t>
  </si>
  <si>
    <t>Lasarte, Vicente</t>
  </si>
  <si>
    <t>Vicente Lasarte</t>
  </si>
  <si>
    <t>…agrado ó catálogo históríco-alfabético de las personas de que se ha ce mención en los libros del viejo y nuevo Testamento, con las citas de los lugares en los. mismos libros., por D. Vicente Lasarte: un tomo en 8.° prolongado. Se hallará en.la librería de Paz, frente á S. Felipe el Real, á 10 rs. á la rustica y 12 en pasta.' Tratado de las.enfermedades epidémicas, pútridas, malignas y contagiosas, que de cuando en cuando afligen á la humanidad, en que se…</t>
  </si>
  <si>
    <t>Lasauca.srD, Arrdres</t>
  </si>
  <si>
    <t>Arrdres Lasauca.srD</t>
  </si>
  <si>
    <t>…a en Palacio á o de Febrero de i8i8. = YO EL REY.=Yo D. Juan Ignacio de Ayestarán, se cretario del Rey nuestro Señor , la hice escribir por su mandado. = Er duque del Infantado. = D. Arrdres Lasauca.srD. Ramón López Pelegrin.rrD Juan Benito Hermosilla. = D. Josef Montemayor. = Registrada, Aquilino Escu dero. == Teniente de canciller mayor , Aquilino Escudero. Circular de la Dirección general de Rentas. Por el ministerio de Hacienda con fecha de 8 del actual…</t>
  </si>
  <si>
    <t>Lascelles</t>
  </si>
  <si>
    <t>…frialdad, tanto en el parlamento como fuera de él. Los ministros habían convocado de antemano á sus partidarios para asegurarse de sus votos en la propuesta que pensaban hacer, y lord Lascelles, que se había hallado en es ta junta, manifestó que en su dictamen la propuesta de los ministros no era de modo alguno satisfactoria. v Se ha publicado hoy en el banco nacional y en la Lonja el aviso oficial del nuevo plan de Rentas. El Gobierno propone al pú…</t>
  </si>
  <si>
    <t>Lassala, Juan Rafael</t>
  </si>
  <si>
    <t>Juan Rafael Lassala</t>
  </si>
  <si>
    <t>…fael Briz, capitán de voluntarios de Tarragona, inspector de estas partidas:el coronel D. Juan Toledo, capitán del regimiento de infantería de Aragón , gefe de estos distritos: el brigadier D. Juan Rafael Lassala, comandan te de voluntarios de Tarragona, comandante de estos cantones. Casteil de Fels, $ oficial, 1 sargento, 20 cabos y soldados: Masía den Pancha, 1 oficial, 2 sar gentos, 30 cabos y soldados : Prat, 1 oficial , 3'sargentos, 37 cabos y solda dos. jDragone…</t>
  </si>
  <si>
    <t>Lastra, Francisco Amor y</t>
  </si>
  <si>
    <t>Francisco Amor y Lastra</t>
  </si>
  <si>
    <t>…aído de las entra ñas del pez llamado gata, que ha cogido con su lancha, 53 arrobas de sain, que analizado se halló ser de superior calidad al de ballena. Maza y barra de hierro á D. Francisco Amor y Lastra, vecino de Serantes, á D. Jóscf Alvarez de Murías, á,D. Francisco Suarez de Grullos, á Tomas García de Baiña, á Vicente Suarez de Bello, á D. Ignacio García Tuñon de Salas j á D. Juan Cosme Cotariella, cura de Narzaná, y á D; -Francisco Valdés de Entralgo, po…</t>
  </si>
  <si>
    <t>Latapie</t>
  </si>
  <si>
    <t>…os de América dan la noticia si guiente : ,, Entre los varios oficiales franceses que pasaron al Brasil al tiempo de la conspiración que se manifestó en Pernambuco, se hallaban el coronel Latapie y otro amigo suyo. Hechos prisioneros ambos por los portugueses á poco de haber desembarcado en las costas del Brasil, les hallaron, según di cen, papeles importantes relativos á la insurrección» En consecuencia -fueron</t>
  </si>
  <si>
    <t>Latorre</t>
  </si>
  <si>
    <t>…atamente seguí á este pueblo para atacarlos por retaguardia, -sabiendo que se hallaba en la Victoria; y ahora, que es la una dél dia, se me acaba de informar por una muger que el ¿brigadier Latorre los rechazó ¿ayer con -muchas ventajas, ha ciéndolos ^retroceder hasta d 'citado ^pueblo dé &gt;la Victo ría; pero aun ignoro la certeza deteste hecho, pues - no he • recibido pa rtes de dicho ¡brigadier. íambien ahora mismo me avisa une de las avanzadas que se…</t>
  </si>
  <si>
    <t>Latour</t>
  </si>
  <si>
    <t>…y empleado en la misma embajada, corno también otras varias personas de distinción pro cedentes de Viena, y entre otras el conde de Palfi, el teniente coronel conde de Stadion, el conde Latour, gentilhombre del Emperador de Austria, el ca ballero de Floret, consejero áulico, y el conde de Nesselrode, ayudante de S. A. I.. el Gran Duque Constantino. Lady Castlereagh tiene tertulia dos veces á la semana, á .la.que asisten loa ministros, quienes, lueg…</t>
  </si>
  <si>
    <t>Lavedan, Antonio</t>
  </si>
  <si>
    <t>Antonio Lavedan</t>
  </si>
  <si>
    <t>…, como en los navios, hospitales, hospicios , cárceles y casas, particulares, con expresión de los in^ gredientes mas simples con que pueden hacersé: traducido y recopilado por el doctor D. Antonio Lavedan, profesor de medicina, y cirujano de Cámara de S. M. Cató lica &amp;c. &amp;c. : dos tomos en 4;0 Se hallará éh el despacho de la imprenta Real. El experimentado cazador y perfecto/tirador., compuesto por D. J. M. G. N.: método que se debe observar para tirar corrien…</t>
  </si>
  <si>
    <t>…sobre las señales del envenenamiento. Obra ne cesaria para los profesores de medicina y cirugía : escrita en francés por el célebre bo tánico Mr. Bulliafd, y traducida por el Dr. D. Antonio Lavedan , profesor de me dicina , y cirujano de Cámara de S. M. &amp;c&lt;: un tomo en 4.0 Se hallará en Madrid en la librería de Illescas, calle ancha de Majaderitos, y en Sevilla en la de Caro. Mapa de los reinos de España y Portugal en seis pliegos de marquida, con una o…</t>
  </si>
  <si>
    <t>…rará cónodery cúrar 'las calenturas, dados’á luz en .latín por Máximíliánó Stoll, catedrático de medicina clínica en el’ho&amp;pital de Viena &amp;c., y traducido ¿1 castellano por él Dr. D. Antonio Lavedan, profesor de.medicina, y ci rujano de cámara de S. M.-. obra que ha merecido que la Junta superior de medicina recomendase su estudio: un tomo en 4.0 Se hallará en la librería de Iliescas, calle an cha de Majaderitós, á 24 rs. en pasta. EN LA IMPRENTA. REAL.</t>
  </si>
  <si>
    <t>Lázaro, Agustin</t>
  </si>
  <si>
    <t>Agustin Lázaro</t>
  </si>
  <si>
    <t>…uenos servicios. „ El valiente comandante, accidental del batallón de Granada D. Agus tín Nogueras, que se distinguió á la cabeza de él, fue herido, y el teniente del mismo cuerpo D. Agustin Lázaro. También han sido heridos el ayu dante D. Víctor Urquiza, y el subteniente D. Juan Santiago, del regimiento de la Union , el teniente de Búrgos D. Antonio Gil, y el capitán de Navar ra D. Antonio Ladoux. El capitán de Granada D. Pió Sánchez Garcés fue contuso…</t>
  </si>
  <si>
    <t>Lázaro, Juan Evaristo Capistrano</t>
  </si>
  <si>
    <t>Juan Evaristo Capistrano Lázaro</t>
  </si>
  <si>
    <t>…ibanía. Por providencia del Sr. 0. Joaquín Almazan, teniente de corregidor de esta corte, se,cita y emplaza á Jas personas interesadas en.Jos bienes vacantes.por falle cimientocié D. Juan Evaristo Capistrano Lázaro y de Doña María Hilaria, su hija, mu ger que fue de 0. Antonio Rodríguez Vizoso, también difuntos, naturales el primero de la cuidad de Calatayud, en el reino de Aragón» y la segunda de esta corte, en la que fallecieron en 11 de Noviembre de 1807 y en 3 de Ma…</t>
  </si>
  <si>
    <t>Leal, Josef Gabriel Díaz</t>
  </si>
  <si>
    <t>Josef Gabriel Díaz Leal</t>
  </si>
  <si>
    <t>…fre Morales., Juan González /.Félix Gutiérrez,«Ramón Mor rales, Benito Sánchez, Pablo;Arzate/Pedro Martin,; Josef;Velázquez, Josef Antonio Móndragon y Josef Salazar:«¿ibvefestiva. D. Josef Gabriel Díaz Leal , justipia encárgado!; -FnNicóla&amp;Melgarejoy hi*</t>
  </si>
  <si>
    <t>Leal, Juan</t>
  </si>
  <si>
    <t>Juan Leal</t>
  </si>
  <si>
    <t>…la sección de mi cargo á sorprenderla; mas co mo aquel punto se halla muy distante de este, me vi en la necesidad de ade lantar 35 hombres bien montados á las órdenes del alférez D. Juan Leal, quien habiendo cumplido con las mías logró atacar al amanecer de hoy dicha ga villa, haciéndoles 3 prisioneros, y represando 50 caballos, 3 sillas, 3 lanzas y machetes. ,, Recomiendo á vmd. el mérito que nuevamente ha contraído el alférez D. Juan Leal y dema…</t>
  </si>
  <si>
    <t>Leal, Juan García</t>
  </si>
  <si>
    <t>Juan García Leal</t>
  </si>
  <si>
    <t>…familia, espera que cualquiera que exista de dichos interesados, ó bien los señores curas párrocos, ú otras personas que tengan noticia de alguno de ellos, se sirvan comunicarla á D. Juan García Leal, agente de negocios de los Reales Consejos, encargado de recibirla y agradecerla. Se desea saber el paradero de Estéban Rublo, hijo de Valentín y Antonia Gar cía, natural de Villacastin, obispado de Segovia, que el año de 1811 salió de di cha villa en ia edad…</t>
  </si>
  <si>
    <t>Lean</t>
  </si>
  <si>
    <t>…Doña María Gutiérrez, hija de D, Diego, natural de Cienpozueios, ,y de Doña Concepción Dorado, natural de esta corte, ya difuntos, la cual tiene dos hermanos llamados D.; Félix y D. Lean dro, que se sirva avisarlo á D. Marcelino Losada Gutiérrez, calle del Pozo, entran do por la de S. Bernardo, núm. y, cuarto bajo, pues es para comunicarla asuntos de interes. Para mayor comodidad de los profesores de primera educación y del publico se hallará…</t>
  </si>
  <si>
    <t>Lecina, Raimundo</t>
  </si>
  <si>
    <t>Raimundo Lecina</t>
  </si>
  <si>
    <t>…ido examinados los alumnos con toda escrupulosidad, se pro cedió á la adjudicación de premios, que se distribuyeron á los sügetos si guientes: D. Lúeas Escribano, D. Josef Larrea, D. Raimundo Lecina , Doii Vicente Higueras y D. Pascual Vicente. Fue también considerado digno de premio D. Antonio Ximeno; y mientras el muy ilustre gobernador dió á cada uno su premio, la música cantó unas letrillas en honor de los premiados. Dió en fin las gracias al muy ilu…</t>
  </si>
  <si>
    <t>Ledos, Bérnardiño Pini y</t>
  </si>
  <si>
    <t>Bérnardiño Pini y Ledos</t>
  </si>
  <si>
    <t>…dar te, al medio racionero D. Juan Bautista Eguren; esta resulta á D. Ramón Pa zos, y otra inedia ración, vacante en la propia iglesia por renuncia de D. Ma tías Josef de Feria, á D. Bérnardiño Pini y Ledos: la ración que ha quedado vacante en la catedral de Guadalajara por muerte del conde de Sta. Rosa á Don Miguel Ramírez, medio racionero, y esta media ración á D. Manuel de Arteaga y Bazan: para otra ración de la catedral de Trujillo, que ha resultado vacante…</t>
  </si>
  <si>
    <t>Legarreta, Pedro de</t>
  </si>
  <si>
    <t>Pedro de Legarreta</t>
  </si>
  <si>
    <t>…nario Rodea y D. Miguel Rodrí guez. Dragones de S. Luis: teniente coronel graduado D. Anastasio Bustamante, capitán graduado D. Felipe Mendez, teniente D. Manuel Muñoz, al féreces D. Pedro de Legarreta y D. Feliciano Guerra, y cadete D. Nicolás Gutiérrez. Dragones de Querétaro: alféreces D. Josef Frias, D. Manuel Arre ta y D. Mauro Camocho. Dragones deS. Carlos: capitán D. Domingo ligar te y portas D. Josef Ignacio Ximenez y D. Pedro Alarcon. Fieles del Potosí: capitán graduado…</t>
  </si>
  <si>
    <t>Leis, Antonio Romero de</t>
  </si>
  <si>
    <t>Antonio Romero de Leis</t>
  </si>
  <si>
    <t>…de los Reales egércitos; segundo gefe ei brigadier D. Estanislao Solano., Este distrito se subdividirá en tres partidos, al cargo del comandante del regimiento infantería de Jaén D. Antonio Romero de Leis, que se situará en Torre-Molinos; del mayor comandante de caballería de la costa de Gra nada D. Bernabé Arranz, que manda, las armas de Velez-Málaga, y de un capitán, que se situará donde crea mas conveniente dicho Excmó. Sr. go bernador. Distrito de Motril.…</t>
  </si>
  <si>
    <t>Leite</t>
  </si>
  <si>
    <t>…e á su vuelta le haya de hallar diferente ó en cosa alguna decaído de lo que ahora es, pues que el Sr. mariscal general tiene la mayor confianza en el zelo y conocimientos del Sr. general Leite, y de to dos los generales y oficiales, como también en- la excelente disposición, sub ordinación, y conducta de los oficiales inferiores, y soldados; sino que siente en extremo S. E. despedirse, aunque.por breve tiempo, de un egército que por tantos motivos…</t>
  </si>
  <si>
    <t>Leite, Francisco de Paula</t>
  </si>
  <si>
    <t>Francisco de Paula Leite</t>
  </si>
  <si>
    <t>…icencia para ir á Inglaterra, y mandan los mismos señores que durante la ausencia del señor mariscal general quede encargado del mando interino del egército el Excmo. Sr. teniente general D. Francisco de Paula Leite, que actualmente lo está del gobierno de las armas de la provincia de Extremadura, y á quien como tal deberá obede cerse , y se le pasarán ademas por el departamento y conductos acostumbra dos todos los informes, planes &amp;c. como se practicaba con S. E. el Sr.…</t>
  </si>
  <si>
    <t>…ampomayor, y enviará las cartas á la secretaría militar del Pateo de Saldaña, desde donde serán remiti das á S. E. Todo lo que es del servicio se dirigirá naturalmente al teniente general D. Francisco de Paula Leite. ,,E1 señor mariscal general teniendo en consideración el zelo que han mos trado los cuerpos de milicias por su adelantamiento en la disciplina, y la precisión que tienen los milicianos de entregarse á las labores en la presente estación, dispensa que no haya…</t>
  </si>
  <si>
    <t>Leiva, Antonio</t>
  </si>
  <si>
    <t>Antonio Leiva</t>
  </si>
  <si>
    <t>…cografía de la im prenta Real, rr: Un medio pliego de marca mayor. = Ciento y ocho ratratos de Va rones ilustres de la nación española , en 18 cuadernos de á ó, que contienen: i.Q Don Antonio Leiva, Ambrosio Morales,, el P. Juan de Mariana&gt; Fr. Lope Félix de Vega Carpió, D. Antonio Solis, y D. Nicolás Antonio: 2.° el cardenal Gil Albornoz, Gonzalo Fernandez de Córdoba, el gran duque de Alba, Arias Montano, D. Fran cisco Quevedo y Villegas, y D. Juan de…</t>
  </si>
  <si>
    <t>Leiva, Antonio Covarrubias y</t>
  </si>
  <si>
    <t>Antonio Covarrubias y Leiva</t>
  </si>
  <si>
    <t>…mpas que se hallan de tienta en la calcografía de la imprenta Real.zzz En medio pliego de marca mayor Cuaderno p.° D. Hugo de Mon eada, el Cardenal Silíceo, Bartolomé de Carranza, D. Antonio Covarrubias y Leiva, Antonio Perez, y D. Josef Pellicer: io. D. Pedro González de Mendoza, D. Mel chor de Macanaz, Fr. Francisco Ximenez de Cisneros, Vasco Nunez de Valboa, D. Josef Carrillo de Albornoz, y Hernando de Alarcon; ix. Juan de Torquemada, Hernando de Soto, D. Rodrigo…</t>
  </si>
  <si>
    <t>Leiva, Diego Covarrubias y</t>
  </si>
  <si>
    <t>Diego Covarrubias y Leiva</t>
  </si>
  <si>
    <t>…sco Valles, D. Juan de Ribera, D. Juan de Palafox y Mendoza, y el Mtro. Fr. Luis Ponce de León: B.° D. Diego Mesía y Gueman , el Mtro. Juan de Avila, el P. Fr. Josef de Sígiienza, D. Diego Covarrubias y Leiva, Juan lírbina, y el P. Q. Tomas Vicente Tosca. (Se continuará.) Por providencia del Sr. D. Angel Fernandez de los Ríos , del Consejo de S. M. y teniente corregidor de esta muy heroica villa, se cita y emplaza á las personas particu lares ó comunidades de cual…</t>
  </si>
  <si>
    <t>Leiva, Francisco de</t>
  </si>
  <si>
    <t>Francisco de Leiva</t>
  </si>
  <si>
    <t>…ardos para su noticia y cumplimiento.’* Y la3t/asiada á V. esta Dirección para los fines que se expresan. Madrid 30 de MarzQ;dé 1818. En consideración á los méritos y servicios de D. Francisco de Leiva, mi nistro togado del consejo de Indias, se ha servido S. M. concederle la plaza efectiva de la Cámara , que resulto vacante por fallecimiento de D. Josef Pa bló Valiente. 1 — ' • ~ * ^ ‘ 1 ‘ ' '"r ------------------------ — —;--------------------------------…</t>
  </si>
  <si>
    <t>Lema, Francisco Perez de</t>
  </si>
  <si>
    <t>Francisco Perez de Lema</t>
  </si>
  <si>
    <t>…Feliciano del Corral, á exponer lo que crean convenirles en,el expediente promovido en el misino acerca de que se declaren por bienes libres y hereditarios los que dejó el Excmo. Sr. Don Francisco Perez de Lema, del que se ha mandado por el supremo Consejo Real dé Castilla se les instruya por el derecho que les corresponde como quinto llamamien to que hace á una fundación de mayorazgo; pues pasado sin verificarlo, les parará el perjuicio que haya lugar. , ' V Por pr…</t>
  </si>
  <si>
    <t>Lenger, Santiago Benjamín</t>
  </si>
  <si>
    <t>Santiago Benjamín Lenger</t>
  </si>
  <si>
    <t>&lt;§« : vicario apostólico D. Santiago Benjamín Lenger, obispo de Gortine: su coadjutor D. N. N. Guerard. Coghinchika. Los reinos de Cochinchina, Chiampa, Cambo jay tierras de Laos. Un obispo y cuatro misioneros clérigos franceses del mismo semina rio y tres franciscanos italianos: 15 sacerdotes del pais: unos 60…</t>
  </si>
  <si>
    <t>Leo</t>
  </si>
  <si>
    <t>…ella ,* para que en et término de 20 dias ^contados desde la publicación en este periódico, exhiban en la escribanía mayor del ayuntamiento de dichacíudad, que se halla á cargo de D. Leo nardo Fasgua y Nieto, los títulos en virtud de los cuales los poseen; en inteligenr tía de que.se les devolverán los documentos, y que no volverán á ser emplazados para ello, y se dará cuenta á S. M. ^ ..... 'Por^providcncia dada -en 4 del -corriente -por el…</t>
  </si>
  <si>
    <t>Leo, Josef</t>
  </si>
  <si>
    <t>Josef Leo</t>
  </si>
  <si>
    <t>…Domingo Travieso. Cubrí también todos los puntos de O. y S. de esta villa, y dejando, un fuerte cuerpo de infantería de reseryá en la plaza al mando del teniente coronel graduado D. Josef Leo nardo Tejada , y otro de caballería al del de igual clase D. Manuel Rubio, me dirigí al rastrillo de Silao, y tuve Ja noticia en el camino de que los ene migos Habían entrado por el de S. Antonio antes de que Falla se acercase, dándoseme parte á poco momento…</t>
  </si>
  <si>
    <t>León</t>
  </si>
  <si>
    <t>…inal de Morillo, á 12. QSe continuará.') En virtud de facultad Real concedida á la Excma. Sra. condesa de Mora, mar quesa de Valdecarzana, cometida su egecución -y cumplimiento al Sr. D. León de la Cámara Cano, caballero de Ja Real y distinguida orden española de Carlos ni, del Consejo de S. M* en el. supremo de ^Almirantazgo, se venden las fincas siguien tes: ¿1 término redondo titulado de Miranda de Pericalbo, existente en la jurisdic ción de la…</t>
  </si>
  <si>
    <t>Léon</t>
  </si>
  <si>
    <t>…l tercer remate de Meregrillan, Miranda de Pericalvo y Garrascalino el dia 27 del corriente, y el de Terrados el 11 de Agostp próximo, á las 12 de la ma ñana, en la posada del Sr, D. Léon de la Cámara Cano, del Consejo de S. M. en el Sqpremóde Almirantazgo, por ante el escribano de número D, Claudio Sanz. Asimis mo se verificó el primer, remáte de la dehesa titulada del Ondajo, término de la villa del Pinero,^provincia de Zamora, en 1 go9 rs/d…</t>
  </si>
  <si>
    <t>…que pasado les parará él perjuicio que diaya lugar. En virtud de facultad Real, concedida á la Excma. Sra. condesa de Mora, mar quesa de Valdecarzana, cometido su cumplimiento al Sr. D. León ;de la Cámara Cano, caballero de la Real y distinguida orden española de Carlos nt, del Consejo de S. Ai. en el Supremo de Almirantazgo, se vende el término de la villa del Con gosto, en la provincia de Cuenca, con todos sus pertenecidos de tierras labrantías…</t>
  </si>
  <si>
    <t>…e 12 del corriente, se vuelva á publicar por 30 dias mas; en su consecuencia se verificará el huevo remate el día 12 de Setiembre próximo, á las 12 de Ja mañana, en la posa da del Sr. D. León de la Cámara Cano, caballero de la Real y distinguida orden es pañola de Carlos nr, del Consejo de S. M. en el Supremo de Almirantazgo, juez de comisión en el asunto, por ante.-el escribano de numero D. Claudio Sanz. En virtud de providencia del Sr. D. Manuel…</t>
  </si>
  <si>
    <t>…al de la tasación, se ha mandado publicar la subasta por 15 dias mas, y para el segundo remate se ha señalado el 16 del corriente mes, de doce á una de la mañana, en la posada del Sr. D. León de la Cámara Cano, caballero de la Real y dis tinguida órden Española de Carlos ni, del Consejo de S. M. en el supremo de Almi rantazgo , por ante D. Claudio Sanz, escribano de numero de esta muy heroica villa: quien quisiere hacer mejora acuda por la escriba…</t>
  </si>
  <si>
    <t>León, Julio Ponce de</t>
  </si>
  <si>
    <t>Julio Ponce de León</t>
  </si>
  <si>
    <t>…se rindiesen, pues de lo contrario irían á pique, contestaron á una voz: viva Fernando vut á lo que habiéndola hecho atravesar, mandé los botes á marinarla con el alférez de navio D. Julio Ponce de León, y recoger los prisioneros, que eran 40, los que tengo asegurados. La goleta necesita, palos nuevos; se llama ¿Eugenia ; su capitán era Mr. Chevaliier; y por no haber llegado al fondea dero hasta ayer tarde no remito á V. E. el correspondiente inventario, por…</t>
  </si>
  <si>
    <t>León, Lorenzo Fernandez de</t>
  </si>
  <si>
    <t>Lorenzo Fernandez de León</t>
  </si>
  <si>
    <t>…ro D. Tomas María Manrique, se cita, llama y emplaza por término de 8 días, que por tercero y último se les concede, contados desde su publicación, á D. Ma nuel Sánchez del Prado, D. Lorenzo Fernandez de León ,- D. Juan Lorenzo Sánchez Cueto, D. Luis Franco, Doña Librada Perez Escovar, D. Joaquín Antonio Ro mán, los Sres. Alzueta y Beratarrechea, D. Rafael Rodríguez, D. Juan de Dios Elias, los Sres. Bohe, hermanos y compañía, D. Mariano de Urbíeta, D. Josef Uhicon…</t>
  </si>
  <si>
    <t>León, Miguel</t>
  </si>
  <si>
    <t>Miguel León</t>
  </si>
  <si>
    <t>…o y diputado. Madrid 2$ de Julio. Continuación de los partes insertos en las gacetas de Caracas (1). 3.0 Del comandante de S. Cdrlos al capitán general interino de Venezuela. ,,El capitán D. Miguel León , con fecha ij del corriente desde el Baúl, me dice lo que copio. ,,En esta hpra, que serán las 3 de la tarde, he entrado en este pueblo, donde he batido y derrotado completamente los enemigos, cuyo número era( de 200 6 mas, según yoz general del pueblo * y l…</t>
  </si>
  <si>
    <t>León, Sebastian Fernandez de</t>
  </si>
  <si>
    <t>Sebastian Fernandez de León</t>
  </si>
  <si>
    <t>do Muro 6 , D. Josef Lgnacio Casas 8, Doña María Josefa Blanco y herma-, na 2 , D. Juan Vicente Arévalo 2 , D. Sebastian Fernandez de León 6, Don Pedro Bahamonde 4, D. Siiverio Galarraga 2, D. Fermín Castillo Beitia y hermanos 4 , D. Ignacio Diaz 2, Doña Josefa Solórzano 1, el presbítero Dorr Josef Gregorio Avila 1, D. Josef Navas 2, Sra. marquesa de Casa León iof Total 683 pesos y 4 reales. Pam…</t>
  </si>
  <si>
    <t>Leonar, Francisca de</t>
  </si>
  <si>
    <t>Francisca de Leonar</t>
  </si>
  <si>
    <t>…gó á la comisión de escuelas un sugeto amante de lá pública educación, y lás demas costeadas por él ayuntamiento&gt; á saber: á Doña Eugenia de Mornza por costura y buena conducta; á Doña Francisca de Leonar y Doña Juanh Greña por doctrina cristiana ,-leer y escribir ; á Tadea María de Viguri por doctrina; á D. Manuel de Cuesta, que salió en suerte eoñ otros condiscí^</t>
  </si>
  <si>
    <t>Lerin, Víctor</t>
  </si>
  <si>
    <t>Víctor Lerin</t>
  </si>
  <si>
    <t>…ernardo Pénelas 20, T). Antonio Na;yarro 20, D. 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 Rafael Minteguiaga 15, D. Ramón Go mia 10, D. Josef Ramón Zozalla 2, D-&gt; Jaime Mas 8, D. Martin de Irrgo•yen…</t>
  </si>
  <si>
    <t>Lesaca, Juan</t>
  </si>
  <si>
    <t>Juan Lesaca</t>
  </si>
  <si>
    <t>…D. Apolinario Rodea y D. Miguel Rodríguez. De S. Luis: capitán graduado de teniente co ronel D. Anastasio Bustamante; capitán D. Andrés Huete; teniente D. Josef Gaitan; alféreces D. Juan Lesaca y D. Feliciano Guerra. De S. Carlos: ca pitán D. Domingo Ugarte; alféreces D. Cesáreo Medellin y D. Mariano Mondragon. Fieles de S. Luis: capitán graduado de teniente coronel D. Ni colás Zarzosa; teniente graduado D. Patricio Gutiérrez. Nueva-^Galicia : ca-, piran graduado D. Mari…</t>
  </si>
  <si>
    <t>Letona, Josef Domingo López de</t>
  </si>
  <si>
    <t>Josef Domingo López de Letona</t>
  </si>
  <si>
    <t>…acante en la santa iglesia catedral de la Havaná por ascenso de D. Julián Josef del Barrio á arcediano de la misma iglesia: la canongía doctoral de la de Valladolid de Mechoacan á D. Josef Domingo López de Letona: la de igual clase en la colegiata de nuestra Señora de Gua dalupe de México á D. Josef María Quüez: las cánongías de idioma mexica no en la propia iglesia, á D. Estanislao Segura y á D. Francisco Valladares; y las raciones, también de idioma mexicano, á D. D…</t>
  </si>
  <si>
    <t>LewaschofF</t>
  </si>
  <si>
    <t>…fonso de Pont, gentilhombre del Emperador de Austria; los tenientes generaíes Boyer, Muffling, Knesebeck y Thielman; el general Czernicheff, ayudante del Empera-* dor de Rusia; el general LewaschofF, ayudante del mismo Soberano; Mn Byland, general al servicio de los Países-Bajos; Mr. de Rayneval, consejero de Estado , director de la cancillería del departamento de los Negocios extrangeros de Francia ; el barón Mounier, consejero de Estado ; el. conde Ca*…</t>
  </si>
  <si>
    <t>Li, Antonio de</t>
  </si>
  <si>
    <t>Antonio de Li</t>
  </si>
  <si>
    <t>…se sirva elevarlo á la superioridad del Excmo. Sr. virey. ,,Dios guarde á V. S. muchos años. Rincón del Zapote Abril 29 de 1818.= Anastasio Bustamante. = Sr. coronel y comandante general D. Antonio de Li nares.” REAL DE TEMASCA7-TEPEC. Oficio del teniente coronel y comandante D. Miguel Torres. i.* „Excmo. Sr.: Con el mayor gozo participo á V. E. la presentación de los dos últimos pueblos de Acatitlan el grande y S- Mateo de los Ranchos, que en el territorio d…</t>
  </si>
  <si>
    <t>Liborio</t>
  </si>
  <si>
    <t>…a; á D. Venancio de $agarnaga y Don Faustino ae Ampuaia por buena conducta; á D. Josef de Puente en la clase de menores y demas rudimentos; á D. Juan Guzman en la de medianos, y á Don Liborio ae Otazu, por haber salido en suerte con otros, por la aplicación y Jbuena conducta, con lo cual se concluyo el acto; habiendo'dado el alcalde que presidio las mas expresivas gracias á los maestros por su exactitud en el desempeño de su obligación, y exhortad…</t>
  </si>
  <si>
    <t>Lidian, Josef María</t>
  </si>
  <si>
    <t>Josef María Lidian</t>
  </si>
  <si>
    <t>„Dk&gt;&amp; guarde i V.:E. muchos años. Tulancmge Febrero *© fie i8Tif£= ¿cmo. Sr. ss Manuel de; la Concha.=Excmo. Si, virey P. Juan; Ruiz de Apodaca.” ' Parte del teniente coronel D. Josef María Lidian. ; ,, Consecuente á lo que dije á V. S. el 27 del que espira , después de ha ber tomadp el juramento d&lt;e¡ fidelidad á las partidas que engañadas seguían la revolución, tuve por conveliente, unir á mis realistas de caballería 5-0 deaque^ ■ líos para recorrer'…</t>
  </si>
  <si>
    <t>Lie</t>
  </si>
  <si>
    <t>…ción, por el tiempo de su vida, á D. Antonio Baltasar Millati de mas de 81 años de edad. Los pretendientes dirigirán sus memoriales hasta el 15 del corriente al procurador síndico general Lie. D. Manuel Montero. Observaciones sobre la naturaleza y virtudes de las aguas minerales de Trillo, por el médico director por S. M. de ellas D. Josef María Brull, proto-médico que fue del egército de reserva, y socio de mérito de la Real sociedad médica de Se…</t>
  </si>
  <si>
    <t>Lienares, Bernardo de</t>
  </si>
  <si>
    <t>Bernardo de Lienares</t>
  </si>
  <si>
    <t>…, que lo eran Doña Teresa de la Puente Herrera, casada con el Lie. D. Pablo Moreno del Olmo, vecinos de la ciudad de Bíírgos; á Doña María Antonia de la Puente Herrera, casada con Don Bernardo de Lienares, vecinos del lugar de Bezana,obispado de Santander; á Doña Bárbara Abarca, vecina de la misma ciudad, viuda de D. Josef Ignacio de la Puen te Herrera, como madre, tutora y curadora de Doña María Angela de la Puente Abarca, y D. Martin de Valdivieso Morquecho,…</t>
  </si>
  <si>
    <t>Liendo, Juliana</t>
  </si>
  <si>
    <t>Juliana Liendo</t>
  </si>
  <si>
    <t>…reces: ÍRamon Sánchez, Francisco Cuesta y irlos Segura. Escuadrones del Rey. Alféreces: Gregorio Riv.as y Pablo Salazár. ‘ Dragones-leales a pernando vn. Teniente Antonio Naranjo. Doña Juliana Liendo, natural del Guayabal', la nóblézá pérsonal, aten diendo al' mérito de sus dos hijos los tenientes coróneles D. Antonio y Don Felipe Ramos. * JSlota. Hay muchos individuos de esta clase condecorados con las meda-" lias de oro y plata y el busto de S. M. que n…</t>
  </si>
  <si>
    <t>Lienna, Nano de</t>
  </si>
  <si>
    <t>Nano de Lienna</t>
  </si>
  <si>
    <t>…ue es el tiempo en que este rio toma aguas; y aunque se cree que los resultados de ésta empresa no bastarán á cubrir los «gastos, no obstante el proyecto es muy honorífico para el Sr. Nano de Lienna, que es el que le dirige, y quién ha inventado la máquina que se ha de em-</t>
  </si>
  <si>
    <t>Ligorio</t>
  </si>
  <si>
    <t>…en que fueron aprobados, Egercicio eucarístico, ó visitas al Santísimo Sacramento y la Virgen María para cada día del mes en la solemne oración de las Cuarenta horas, por el limo. Sr. Ligorio: un tomo en 8.° á 7 rs. en pasta, muy cómodo para el uso diario._Poema histórico, ó compendio de la vida de S. Isidro labrador, patrón de Madrid, dis puesto por un devoto paisano suyo con el fin de extender la devoción del santo pa trón en 8.° á 4 rs. Se hall…</t>
  </si>
  <si>
    <t>LiHan, Pascual de</t>
  </si>
  <si>
    <t>Pascual de LiHan</t>
  </si>
  <si>
    <t>…del traidor Mina y sus secuaces á Soto la Marina/’ Relación de los gefes y oficiales que ha tenido muertos, heridos y contusos la divisióny que d las órdenes del.mariscal de campo D. Pascual de LiHan sitió y mataco el fuerte de Comanja x en la provincia de Guanajuato» Primera sección : regimiento de infantería de Zaragoza: el teniente coro nel D- Manuel Factor, el comandante del primer batallón D- Gabriel Rivas, él capitán Dv Juan Postelli, el teniente D.…</t>
  </si>
  <si>
    <t>Limpias, Juan Lorenzo de</t>
  </si>
  <si>
    <t>Juan Lorenzo de Limpias</t>
  </si>
  <si>
    <t>…dro de Buena vista, arzo bispado de Charcas; D. Josef Mariano Caílau, cura de Santiago ¿ provincia de Chiquitos; D. Francisco Xavier López, cura de S. Rafael en dicha pro vincia ; D. Juan Lorenzo de Limpias, ex-cura de dicha provincia. x Seculares. D. Lorenzo Moreno, abogado de la Real audiencia de Charcas; Doña María Mercedes Moreno, su hermana; D. Lorenzo del Ribero , capitán de milicias de caballería; Doña Antonia de Molina, su muger; D. Juan Gualberto del Ri…</t>
  </si>
  <si>
    <t>Liñan</t>
  </si>
  <si>
    <t>136</t>
  </si>
  <si>
    <t>…ndoles abandonar la empresa con bastante pérdida, cuyos porme nores no han llegado aun á mi noticia. . „ Frustradas todas las tentativas que los rebeldes hicieron para distraer al general Liñan del sitio de Comanja, é inutilizados sus esfuerzos, aunque diri gidos con bastante tino y extraordinaria actividad, continuando nuestra arti llería en batir el muro de aquel fuerte en que había hecho ya algún estrago, y por último, perdidas las esperanzas de…</t>
  </si>
  <si>
    <t>…l mismo tiempo la atención por diversos puntos. „ A pesar de estos inconvenientes, y de los que opone la rigurosa estación de aguas, que son muy abundantes en aquella serranía, el general Liñan,</t>
  </si>
  <si>
    <t>…odía con cederles capitulación alguna, y que se entregase» á discreción , concediéndoles hora y media de término para resolverse* Concluido este dirigió el rebelde Pedro Moreno al general Liñan un pliego insistiendo en que se les concediese la capitulación; y contestó de palabra con un ofícial que no tenían que es perar ninguna sino rendirse , y que si no lo verificaban en el instante rompe ría de nuevo el fuego, como se verificó un cuarto de hora d…</t>
  </si>
  <si>
    <t>…las noticias correspondientes;' pero estoy informado que respectivamente han muerto menos soldados que oficiales. „ Estoy muy satisfecho de la actividad, zelo y acierto con que el general Liñan ha dado cumplimiento á las órdenes que le comuniqué sobre este par ticular, como también de las medidas que tomó para el logro de tan felices ; resultados, y lo recomiendo eficazmente á V. E. para que lo ponga en noti cia del Rey nuestro Señor, y se digne S.…</t>
  </si>
  <si>
    <t>…á la ventajosa y casi inaccesible posición de S. Gregorio, por lo escarpado y cortado de sus cerros, ha retar dado la toma de aquel fuerte, siendo el fruto de las operaciones del,general Liñan hasta el dia 14 el que expresan las gacetas núm. 1138 y 1142 , que con las demas deí presente mes acompaño.á V. E. adjuntas. En partes de 17, 25 y 27 del corriente, que es el ultimo que he recibido, me comunica el ex presado, general haber aproximado sus trin…</t>
  </si>
  <si>
    <t>Liñan, Antonio García</t>
  </si>
  <si>
    <t>Antonio García Liñan</t>
  </si>
  <si>
    <t>…„ Asimismo recomiendo á la consideración de V. E. al capitán D. Josef Madera, los tenientes D. Eustaquio Hidalgo y D. Josef Aspiazu, y á ios subtenientes D. Josef Checa y Fuentes, D. Antonio García Liñan y D. Fe lipe Carrasco, todos del regimienro de Burgos, que fueron heridos; á los subtenientes del batallón de la Reina Doña Isabel D. Josef Masanes y Don Antonio Calderón, teniente del de Clarines D. Josef Guillen, y á los subte nientes del mismo cuerpo D. Julián Fue…</t>
  </si>
  <si>
    <t>Liñan, Pascual</t>
  </si>
  <si>
    <t>Pascual Liñan</t>
  </si>
  <si>
    <t>49 6 ESPAÑA; México 9 de Enero, Continuación de los partes de 'Nueva-España. El mariscal de campo D. Pascual Liñan, con fecha 2 de este mes, dice al Excmo. Sr. virey lo siguiente: „No habiendo podido despachar este parte (1) con la prontitud que de seaba por falta de caballería, he podido saber después de escrito que han' si do cogidos sobre 300 prisioneros, entre ellos e…</t>
  </si>
  <si>
    <t>Liñan, Pascual de</t>
  </si>
  <si>
    <t>Pascual de Liñan</t>
  </si>
  <si>
    <t>…asi la mitad, entre ellos el rebelde Pedro Moreno, cuya cabeza se ha traido á este pueblo, adon de acabo de llegar; y en cuanto tenga lugar remitiré el parte al mariscal de .campo D. Pascual de Liñan. Le anticipo á V,. E. este aviso por lo que pue da interesar. ■ v T;,.„Dios guarde á V. E. muchos años. Silao 27 de Octubre' de 1817 á las ocho de la noche. =Excmo. Sr. = Francisco de Orrantía. = Excmo. Sr. virey D. Juan Ruiz de Apodaca.” S. £. desea con ansi…</t>
  </si>
  <si>
    <t>…construido por los rebeldes en la sierra de Comanja, como manifesté á V. E. en mi parte núm. 28 de 31 de Agosto último, y cuyo croquis remito á V. E. en un tubo separado, mandé al general D. Pascual de Liñan que con la división de ope raciones de su cargo fuese á operar contra la fortificación que el clérigo após tata Josef Antonio Torres, titulado teniente general y comandante de la pro vincia dé Guariajuato, había construido hace 15 meses en los cerros de S. Gr…</t>
  </si>
  <si>
    <t>…proveedor D, Joaquín Martel, quien salió contuso de bala en una mano. „Dios guarde á V. S. muchos años. Silao Octubre 12 de 1817.= Fran cisco de Orrantía. = Sr. mariscal de campo D. Pascual de Liñan.” El Excmo. Sr. virey ha mandado dar las gracias en nombre del Rey nuestro Señor al coronel D. Francisco de Orrantía, gefe de esta sección, co mo á los comandantes, oficiales y tropa que la componían, anotándose en sus hojas de servicio este que acaban de hac…</t>
  </si>
  <si>
    <t>…de Mina una relación de sus nombres y cuerpos á que corresponden. ,, Dios guarde á V. S. muchos años. Irapuato Octubre 29 de 1817.=: Francisco de Orrantía. =Sr. mariscal de campo D. Pascual de Liñan.” Relación de los oficiales que se hallaron presentes el 27 del corriente a la prisión del traidor Xavier Mina en el rancho del Venadito, perte neciente d la hacienda de la Tlachiquera. De Frontera : el capitán graduado de teniente coronel D. Josef María No-'…</t>
  </si>
  <si>
    <t>…, del Sr. Orrantía, gefes , oficia les y tropa, y de los fieles vasallos de S. M1. «Dios guarde á V. S. muchos años. México Noviembre n de 1817.=^ Apodaca. = Sr. mariscal de campo D. Pascual de Liñan.** Asimismo se han recibido las noticias siguientes insertas en la gaceta ex traordinaria de Caracas de £ de Diciembre último. Parte del coronel del regimiento de Navarra, comandante de Calabozo, al Sr. capitán general. Comandancia Militar. El brigadier D. Mi…</t>
  </si>
  <si>
    <t>…....... » ? : ESPAÑA. - - - /. + México // de "Noviembre, \ El Exento. Sr. virey ha&gt; recibido los partes siguientes: * PROVINCIA DÉ GUANAJUATO. » , * • A i.° Del mariscal de campo D. Pascual de Liñan. •• „ Exctno. Sr.: Paso á manos dé V. E. el parte circunstanciado de que: hablé á V. E. en oficio de 29 de Agosto próximo pasado desde Irapúato del* ataque dado contra la villa de León por el traidor Mina en la noche del 26 al 27 del mes de Julio último, y re…</t>
  </si>
  <si>
    <t>…Juan Nepomuceno Gómez. Plan del cerro del Bellaco 23 de Enero de 1818= Josef María Quin tero Castro. ' El Excmo. Sr. virey/ha dadp las gracias en nombre del Rey nuestro Se ñor al general D. Pascual de Liñan, gefes, oficiales y tropas que concurrie ron al sitio y toma de la fortificación expresada, avisando á dicho gefe que premiará debidamente en .nombre de S. M. á los que mas se han distinguido. Madrid 2 y de Mayo. ____ ___ ARTICULO s DE OFICIO. El Rey nuestro…</t>
  </si>
  <si>
    <t>Linares, Antonio de</t>
  </si>
  <si>
    <t>Antonio de Linares</t>
  </si>
  <si>
    <t>…las armas, y colgados para: escarmiento de otros en el indicado rancho. „ Dios guarde á V- S. muchos años. Celaya Abril r.° de 1818. = Froilan Bósinos. = Sr. coronel y comandante general D. Antonio de Linares.” (Se con tinuaran* ) ; * &gt;&gt; ; - -■ Madrid 2g de Octubre* ; ; ¡. ■ Y 'í'í'-'Alfl CULO DE OFICIO. JEl Rbt nuestro Señor se ha servido expedir el Real decreto siguiénte * : ,, Los vocales de las juntas provinciales de Burgos y Guipúzcoa, que lian</t>
  </si>
  <si>
    <t>…francesas, que es va considerable en S. Luis.’* ^ ESPAÑA. . México &amp; de Mayo, Continuación de los partes de Nueva-España, PROVINCIA DE GUANAJUATO. Oficio del coronel y comandante general D. Antonio de Linares. ,, Excmo. Sr.: Ahora que son las ocho de la noche acabo de recibir el ad-</t>
  </si>
  <si>
    <t>Linares, Aritonio de</t>
  </si>
  <si>
    <t>Aritonio de Linares</t>
  </si>
  <si>
    <t>5t'2Ó^ „ Dios giíáfde á V. S. íñüchos áñÓS.' S. Migüéí Máyo ii!dé i8i8. == FroilanJBosinos.==Sr. coronal y comandante generáf D. Aritonio de Linares.” - El Ex ciño Sr. vircy , en vista del parte qué Antecede , ha maridado daf Jas gracias al comandante, oficiales y soldados que concurrieron á ésta acción; y ha concedido en nombre del Réy nuestro Señor al sargerfto del cuerpo* de Frontera D. Santiago Batája…</t>
  </si>
  <si>
    <t>Linares, Manuel</t>
  </si>
  <si>
    <t>Manuel Linares</t>
  </si>
  <si>
    <t>…Cañas, D. Antonio Tuya, D. Ma nuel Sánchez Trívino y D, Martin de Santiestéban, heridos. Dragones de S. Luis: el capitán D. Anastasio Bustamante herido. Dragones de S. Carlos: el capitán D. Manuel Linares herido de gravedad. Segunda sección: bata llón ligero voluntarios de Navarra: el teniente D. Josef María Fierto y el ca dete D. Juan Paule, muertos: el capitán D. Fernando Puertas y el subte niente D. Miguel Culebras, heridos de gravedad; y el ayudante segund…</t>
  </si>
  <si>
    <t>Lindner</t>
  </si>
  <si>
    <t>…como también el titulado el Amigo de los Príncipes, que el profesor Weimar Había sustituido: al ultimo de aquellos. Ademas de esto su autor ha tenido que salir dé Jena asi comó el doctor Lindner se ha visto precisado á salirde aquíen virtud de lo cual creemos que el. conde.de Ediiog, vuelva, bien, prontoi BAVIERA. Munich. 18.de Febrero. El duque:Eugenio de- Launthemberg ha salido-de: aquí para Eichstaeds, capital de su. nuevo' principado », después,…</t>
  </si>
  <si>
    <t>Lisperguer, María Teresa</t>
  </si>
  <si>
    <t>María Teresa Lisperguer</t>
  </si>
  <si>
    <t>…e-* rusalen, D. Pedro Josef d¡e Beri , vecino dé lá ciudad de; las i Palmas/'eL lvirey Amat, D. Joaquín Quintana y D. Francisco Sierra, de Cádiz-, D¿ Melthor-Pascual Calata-* yud, Doña María Teresa Lisperguer, arciprestazgos del obispado de Sigüenza, orden de'S. Juan, villa de Castel-Dasens, corregimiento de Lérida, D. Luis Calatayud, y conde de Sirat, D. Diego Raimundo Seguí, D.Bernard,ino Luis de Ardena y Darmus, D. Antonio de Villalbá, y D. Pedro de Ribero. Lo…</t>
  </si>
  <si>
    <t>Liverpool</t>
  </si>
  <si>
    <t>que creen que va á presentarse un nuevo sistema mas ventajoso que elYnthguo, se fundan en la respuesta que dio ayer lord Liverpool al conde dé Latí* derdale en la Cámara de los Pares, aunque en ella nada dijo de positivo, li¿ mitándose á desvanecer las noticias qué circulan. t Ayer se ocuparon las dos Cámaras del parlamento en lá lectura de algu nas peticiones de diferentes partes del re…</t>
  </si>
  <si>
    <t>$5* El conde Liverpool respondió que el Gobierno no Labia tenido necesidad de entrar en negociaciones con las potencias extrangeras para resolverse á adop tar la continuación de unas medidas tan necesarias para la seguridad y el bien estar del reino. Nadie trata , añadió, de exclui…</t>
  </si>
  <si>
    <t>Llano, Ciríaco de</t>
  </si>
  <si>
    <t>Ciríaco de Llano</t>
  </si>
  <si>
    <t>…r V. E. si fuere servido en la gaceta núm 1101, de que.acompaño adjuntos 6 égemplarés. i, „Gon fecha :de 3 del presente me comunica el comandante general de la provincia de Puebla brigadier D. Ciríaco de Llano , que continuando D. Jo sef Santa Marina, teniente coronel del regimiento fijo de infantería de Méxi co graduado de coronel, comandante del sitio, en buscar por las barrancas á los expresados prófugos, había logrado la aprehensión de la mayor parte de ellos,…</t>
  </si>
  <si>
    <t>…eldes sóbrelas pueblos.deXalcomalco,Coatepec y Camino ReaL ,, Dios guarde á V- S. muchos años. Fuerte del Encero Abril 13 de 1818. = Mariano Hernández. Sr. brigadier y. comandante general D. Ciríaco de Llano.” „Son las nueve de la noche, hora en que el administrador de la hacienda del alto del Encero D. Manuel Sta. María me ha presentado al cabecilla de re beldes Juan Rebolledo, el que á pesar de la resistencia que hizo, fue aprehendi do por los vecinos de dicha…</t>
  </si>
  <si>
    <t>…rección; y de to do lo qué ocurra daré parte á V. S. ¡í Dios guárde a V.:;S. muchos años: Campamento de S. Isidro Mayo 10 de iéiBéisIgriaéio1 Aitíor: ==Sr. tírigádiér y comandante general D. Ciríaco de Llano.” Vi-ir ‘—r' Madrid 30 de Octubre, ARTIC ÜLO DE OFICIO*. L; Circular de da Dirección general de Rentas, Por el ministerio de Hacienda con fecha 26 del actual se nos ha comuni cado Iú Real orden que signe: ‘ &lt; - A los directores del Crédito público digo con es…</t>
  </si>
  <si>
    <t>…es Marzo 23 de 1818. = Grego rio de Arana. =Sr. brigadier D. Manuel María de Torres.” Idem &amp; de Junio. COMANDANCIA GENERAL DE PUEBLA Y VERACRUZ,. Oficio del brigadier y comandante general D. Ciríaco de Llano• ,,Excmo. Sr. *. En la provincia de Puebla no ocurre novedad digna de la superior atención de V. E., manteniéndose toda ella en perfecta quietud, cu yo aviso doy á V. E. en cumplimiento de lo que se ha servido prevenirme. ,,Dios guarde á V. E. muchos años. Ja…</t>
  </si>
  <si>
    <t>…y ha concedido ei grado inmediato en su clase al alférez de realistas D. Juan Ramírez. Idem 2 de Julio. COMANDANCIA GENERAL DE PUEBLA Y VERACRUZ* Oficio del brigadier y comandante general D. Ciríaco de Llano. ,, Excmo. Sr.: Según los partes, que últimamente he recibido, de los pun tos de la comandancia general de Puebla que está ámi cargo., no hay novedad en toda ella digna de comunicarse á V. E., permaneciendo en! perfecta tran quilidad; aviso que doy á su super…</t>
  </si>
  <si>
    <t>Llano, Joaquín Hernández</t>
  </si>
  <si>
    <t>Joaquín Hernández Llano</t>
  </si>
  <si>
    <t>…permiso para que pueda usar la flor de Lis de Francia. El supremo Consejo de Hacienda en sala primera de Justicia por providencia de 3 de Enero ha acordado que D. Felipe Ramírez , D. Joaquín Hernández Llano; D. Eugenio Aparicio y D. Martin Planté, corredores de cambio, juros y seguros de esta corte, paguen inmediatamente las anualidades vencidas que estuviesen de biendo, y lo hagan en lo sucesivo de las que se vencieren; y ha señalado á los mis mos por últim* y…</t>
  </si>
  <si>
    <t>Llano, O. Ciríaco de</t>
  </si>
  <si>
    <t>O. Ciríaco de Llano</t>
  </si>
  <si>
    <t>…visión con el vivo fuego que hizo durante la acción. ,,P¡os guarde á V. S. muchos años. Trapiche de Topila 18 de Octubre de 18 17. =r Juan de Ateaga.es Sr. brigadier y .comandante general O. Ciríaco de Llano/' . Madrid 20 de Marzo. ARTICULO DE OFICIO. El Rey se ha servido nombrar para la vara de alcalde mayor primero de Granada á D. Gerónimo Agüero : para la de Ayamonre^á D. Joatquia Avendañotpara la de Siruela á D. Ramón Carvajal y Trejo:- para la de Casas de Be…</t>
  </si>
  <si>
    <t>Lleopart, Ramón Macla de</t>
  </si>
  <si>
    <t>Ramón Macla de Lleopart</t>
  </si>
  <si>
    <t>…Ra món dé ÚrelTana y A rellano, capellán de Honor de S. M., y de alcalde de Casa y Corte á D* Francisco de Batlle y de Marimon, oidor que fue de la audiencia de Extremadura , y á D. Ramón Macla de Lleopart. Para el corregimiento de Trujillo se ha servido nombrar S» M. á D. Fer nando María López de Sagredo, alcalde mayor dé Ronda; para esta vara á J&gt;. Juan María' de la Terfe-*-electo alcalde mayor de Zaragoza; para esta á D. Gregorio Barraicoa, alcalde mayor de.…</t>
  </si>
  <si>
    <t>Llo, Carlos María</t>
  </si>
  <si>
    <t>Carlos María Llo</t>
  </si>
  <si>
    <t>…e tánto tíos inOlestaJii i Vinr.^.ú y: !é .-K- -r. i . „Dios guarde á ^T. S. muchos añosl Símtü Cárariiía Enero 24 de‘i8i8.i Josef Andrés de Jáuregui. = Sr. coronel y cóiiiaüdante D. Carlos María Llo^ rente.” . &gt; :i v:.\ . 1;.: í. ¿ SaCedoft^lQ de JuMói "■■■ :&gt; - --M SS. MM. y A. continúan sin novedad en su impártante salud1 ¿ y el Rey nuestro Señor sigue tomando los baños, ios cuáles le prueban muy bien.. Madrid ¿o, de Julio. • ARTICULOLE OFICIO. Él Rey…</t>
  </si>
  <si>
    <t>Lló, Carlos María</t>
  </si>
  <si>
    <t>Carlos María Lló</t>
  </si>
  <si>
    <t>…ildo Revuelta. == Excmo. Sr; mariscal de campo D% Josef de la Cruz.” JALAPA. Oficio del brigadier y comandante D. Diego García Conde. ,, Excmo. Sr.: El oficio y parte original del coronel D. Carlos María Lló rente, que elevo á manos de V. E., refiere las operaciones egecutadas por las “tropas del destacamento de Tihuatlan en las lomas de Ixtle y montes del ar royo de Míquetla, lo que elevo al superior conocimiento de V. E. ,,Dios guarde á V. E. muchos años. Jalap…</t>
  </si>
  <si>
    <t>Lloren, Josef Ignacio</t>
  </si>
  <si>
    <t>Josef Ignacio Lloren</t>
  </si>
  <si>
    <t>…*, to, á D. Vicente Joaquín Noguera, barón de Anilla, que lo es de la dé Valencia: para esta regencia á D. Juan López de Vinuesa, electo para la dé Galicia :* para esta regeueia á D. Josef Ignacio Lloren*, electo para la de Mallorca; y para esta regencia á EL Miguel Ramón Mpret, oidor de la au ’ _ _ , , T. ,. , *diencia de Valencia, , ^ Asimismo ha nombrado $. M. á I&gt;. Ramón María de Lleopart, oidor del Consejó de Navarra,.para otra igual plaza de. la audienc…</t>
  </si>
  <si>
    <t>Llórente</t>
  </si>
  <si>
    <t>…cantones de rebeldes que se ven disueltos por las incesantes marchas de aquellas beneméritas tropas. ,, Son dignos de la mayor consideración todos los individuos de las tropas del coronel Llórente, de quien he tenido el honor de hablar á V. E. en mi oficio núm. 263 de 4 del corriente, recomendándole por los interesantes ser vicios con que siempre se ha distinguido; é igualmente elevo al superior cono cimiento de V. E. la lista de los individuos que el…</t>
  </si>
  <si>
    <t>Llórente, Carlos Abaría</t>
  </si>
  <si>
    <t>Carlos Abaría Llórente</t>
  </si>
  <si>
    <t>5°4 • . , coronel D. Carlos Abaría Llórente, y también la que ajamando del teniente coronel D. Josef María Lubian se anticipó desde Ixhuztlan, que era donde lo situé con anterioridad. , * « El primero marchó ayer á situar dos destacamentos &amp;- larga distancia, para que en comunicación Con Lubian,que que…</t>
  </si>
  <si>
    <t>Llórente, Carlos María</t>
  </si>
  <si>
    <t>Carlos María Llórente</t>
  </si>
  <si>
    <t>…nia religiosa con que se solemnizó la clausura. - - - -};; . ESPAÑA. , México 22 de Octubre. JET/ Excmo. Sr. virey ha recibido los partes siguientes. TUXfAU. • ■ i.® Del coronel y comandante D. Carlos María Llórente, Ejecuto. Sr.: En cumplimiento de las órdenes que la Superioridad dé V. E. se ha servido dirigirme , relativas á la persecución y total exterminio de las gavillas de rebeldes que se abrigan en los montes de Palo Blanco y otros fragosos pantos de sus contornos…</t>
  </si>
  <si>
    <t>…REBELDES DE PALO BLANCO Y SUS FORTIFICACIONES* Consecuente á las órdenes-dél Excmb. Sr. virey, comunicadas désde T .a dé Octubre .último á los Corónelés D. Manuel de lá Concha1 y D. Carlos María Llórente, acaba S. E.r;de recibir éf sigulenté parte -cón la• plausible noticia que en él se expresa., y por cuyo medio queda tranquila ia Huasteca, sin que los rebeldes de,ella tengan ya punto alguno de apoyo. , . . ^ ,, Excmo. Sr.: Están ya tomados íós puritos de Pa…</t>
  </si>
  <si>
    <t>Llórente, Cárlos María</t>
  </si>
  <si>
    <t>Cárlos María Llórente</t>
  </si>
  <si>
    <t>…os. Misantla 18 de Enero de 1818.=: Josef Francés Henriquez.=Sr. comandante general de la provincia de Puebla.” ■ Con esta fecha digo al coronel comandante principal de esta costa D. Cárlos María Llórente lo que sigue: - ,, Se han logrado las ideas de V. S. sobre la presentación al indulto del canton de Solteros : el acertado plan que V; S. se propuso , y las instruccio nes que para realizarlo se sirvió darme en oficio de 19 dé Diciembre último, sellan 'cumpli…</t>
  </si>
  <si>
    <t>' .............. ' " Mixteo bjde Febrttó* Continuación dé los partes de Nueoa^JEspaña. ' ; c\ ' ' , ;' Trtjr ¿'f l k Del coronel y comandante D. Carlos María Llórente. r i Exorno* Se.: Reunido el ip.del presente coa .el coronel D, Manuel de la. Concha en eLpueblo de Tihuatlan, emprendimos e.í ,i anuestra marcha para; Palo Blancoy Sdmbrerete pon ■el'óbjetoide batir ¿.áquelios rebeldes y los. de sus puntos adyacentes, seguí»…</t>
  </si>
  <si>
    <t>…á la disposición de V. S. „ No se les han cogido mas que sus machetes de labor. „Dios guarde á V. S. muchos años. Tihuatlan Enero 25 de 181 S.=r San tiago Bullosa. = Sr. coronel y comandante D. Carlos María Llórente.” 2.° „Con noticia qüe túve de ios prisioneros qúe hizo en la mañana del 24 del corriente el cabo segundo Vicente Silva dé qae eñ los montes, del Ixtle, junto al arroyo de Miquetla, distante de aqui nueve leguas, había unos 25 rebeldes armados aí mando de los…</t>
  </si>
  <si>
    <t>…ición de V. S., y lo demas es fruto de !«, tropa en premio de sus trabajos. ' : ,,Dios guárde á V. S. muchos años. Tihuatlan Enero 28 de i8i8.s=San-¿ trago Bullosa. =Sr. coronel y comandante D. Carlos María Llórente.” Madrid 14 de Setiembre. En la extracción de la primitiva lotería Real, egecutada en la tarde de este.dia, lian salido por el mismo orden con que aqui se anotan los cinco nú meros siguientes: 19, 78, 54, 10 y 69. El premio de 2500 rs. vn. , concedido en toda…</t>
  </si>
  <si>
    <t>…rde á V. E. muchos años. Jalapa Febrero 8 de 1818. =r Exce lentísimo Sr.=Diego García Conde. = Excmo. Sr. virey D. Juan Ruiz de Apodaca.” Oficio del coronel y comandante de Tuxpan D. Carlos María Llórente. . ,,Cada dia se hacen mas visibles los felices resultados de las constantes y activas operaciones de las tropas que tengo el honor de mandar. AI paso que se va asegurando con la mayor rapidez la tranquilidad en toda la parte del norte de mi distrito, se logr…</t>
  </si>
  <si>
    <t>…ecié y consideración de..V*. S. Remito á v. S. Ja lista de los nuevos indultados. ,,Dios guardé á V\ S. muchos años. Nautla Enero 2i de i8i8.==Pedrd Antonio Blasco. stSr.- coroneí D. Carlos María Llórente.5’ Lista de los individuos que se hanpresentado con arpias y municiones Á indulto en Nautla el cita 20 de Enero corriente. El titulado capitán comandante Guillermo Herrera; teniente Anastasio Saucedo; soldados Ahtónio Sandria, Manuel García, Josef María Panam…</t>
  </si>
  <si>
    <t>…’ ' j Continuación de los partes de Nueva-España. 1 XAI.APA. Oficio del brigadier y comandante D. Diego Orar cía Conde. ,,Excmo. Sr.: Elevo á manos de V. E. el oficio original del coronel Don Cárlos María Llórente, con el que remite el parte de las operaciones egecutadas por el capitán de milicias de Tampico D. Antonio Chirinos contra las gavillas que se hallaban á las inmediaciones de Palo Blanco y Sombrerete; siendo el resultado de estas ventajas que los enemigos, ba…</t>
  </si>
  <si>
    <t>…rios puntos de los fragosos mon tes que hemos recorrido. ,, Dios guarde á V. S. muchos años. Campamento en el pueblo nuevo de Tepecintla Enero 30 de 1818.= Antonio Chirinos. = Sr. coronel D. Cárlos María Llórente.” Lista de los oficiales , sargentos y cabos que concurrieron d las expedi ciones que refieren los partes anteriores. De la primera división de milicias de la costa del Norte. El teniente coronel graduado D. Josef Andrés de Jáuregui, capitán graduado D. Anton…</t>
  </si>
  <si>
    <t>Llórente, Carlos Marta</t>
  </si>
  <si>
    <t>Carlos Marta Llórente</t>
  </si>
  <si>
    <t>…. E. ,,Dios guarde á V. E. muchos años. Jalapa Febrero 8 de 1818. rr Exce^ lentísimo Señor. = Diego García Conde. =Excinó. Sr. virey D. Juan Ruiz de Apodaca.” Oficio del coronel y comandante D. Carlos Marta Llórente. ,,Habiendo dispuesto que de todos los puntos militares de mis fronteras, y cpn proporción á sus fuerzas, saliesen partidas de tropas á obrar contra los enemigos de su frente respectivo, para que perseguidos por todas partes se lo grase prontamente su total e…</t>
  </si>
  <si>
    <t>Llorenté, Juan Antonio</t>
  </si>
  <si>
    <t>Juan Antonio Llorenté</t>
  </si>
  <si>
    <t>…hallarán la Historia razonada de la revolución de España: Napoleón, ó él Verdadero D. Quijote de la Europa; y la Inquisición justamente restablecida,ó impugnación de los Anales de D. Juan Antonio Llorenté, y del manifiesto que, pliblícaroñ las cortes de Cádiz para justificar la supresión de aquel tribunal. ' ¡ Memoria sobre el cultivo y cosecha del algodón en general y con aplicación á Éspaña, particularmente á Motril, leída y aprobada en la clase de agricultu…</t>
  </si>
  <si>
    <t>Lman, Pascual de</t>
  </si>
  <si>
    <t>Pascual de Lman</t>
  </si>
  <si>
    <t>…Mina y su gavilla, unida con la de Moreno y otros cabecillas. „Dios guarde á V. S. muchos años. Villa de León Agosto 24 de 1817. = Pedro Celestino Negrete. =Sr. mariscal de campo D. Pascual de Lman.” 3 ? Parte del coronel ZX Josef Antonio de Andrade. „En oficio de 27 del pasado á las 7 de la mañana di parte á V. S. del ataque sostenido contra el traidor Mina en aquella madrugrada, no pudiendó detallar á V. S. por entonces el'pormenor de todo por no habe…</t>
  </si>
  <si>
    <t>Lo</t>
  </si>
  <si>
    <t>…de Larrazabal 5, D. Josef Jesús Goenaga 10, D. Miguel Martínez 5, D. Pedro Aguerrebere 5, D. Domingo Segura 5 , Don Bartolomé Echenique 5 , D. Toribio Espinosa 20, D. Juan Plá 5 , D. Lo renzo Treillan- 5 , D. Francisco Espelosin 10, D. Miguel Portillo 5 , Don Juan: Hernández 6 , D. Josef Baez 2 , D. Josef Arrese 4, D. Francisco-Ruz 1, D. Josef Manuel Chirinos 4 , D. Gerónimo Losada 3 , D. Rodulfo Vasallo iD. Tomas Pónce 4 reales¿ D. Juan Cam…</t>
  </si>
  <si>
    <t>Ló, Carlos</t>
  </si>
  <si>
    <t>Carlos Ló</t>
  </si>
  <si>
    <t>…odo un total de 500 plazas, que fue mandando el expresado coronel. Marino salid de Cariaco con ánimo de sorprender y atacar esta fuerza; la encontró efectivamente sobre la casa de D. Carlos Ló pez j á fin del golfo de Cariaco, en 3 del actual, y la acometió denodada mente. El batallón de Barbastro se portó con la mayor bizarría; y después de un fuego vivísimo de 5 horas la entrada de la noche suspendió la acción, é impidió que el coronel Cini pudie…</t>
  </si>
  <si>
    <t>Lo, Juan de</t>
  </si>
  <si>
    <t>Juan de Lo</t>
  </si>
  <si>
    <t>…graduado de capitán, D. Josef Narvaez ; el te niente D. Luis La Madrid; lo$ subtenientes D. Sancho Pardo y D. Domingo Agustín; y del de Castilla contusos el capitán de granaderos D. Juan de Lo bo, el teniente D. Ventura Salgado, y los subtenientes D. Pedro Fernandez . y D. Angel Loño; del.de húsares también contuso de bala de cañón el porta D. Francisco Ximenez.</t>
  </si>
  <si>
    <t>Lo, Román</t>
  </si>
  <si>
    <t>Román Lo</t>
  </si>
  <si>
    <t>…de que dentro del1 preci so término de 2Ófdiás, que por segundó se le señala, contados dcsde esta fecha, acu dan á dicho juzgado privilegiado y escribanía; del número , á cargo de D. Román Lo renzo Calvo, que lo es de Cámara de dicho Supremo Consejo de la Guerra, por sí ó por medio de procurador, con poder bastante, á deducir y exponer su derecho y justicia en los mencionados autos*, pues pasado que sea dicho término sin haberlo he sito, les parar…</t>
  </si>
  <si>
    <t>Ló, Vicente</t>
  </si>
  <si>
    <t>Vicente Ló</t>
  </si>
  <si>
    <t>…á 8.—Retrato del Rey D. Cárlos ir, porSclma, á 6\-—Ochenta estampas, que forman un cuaderno, de los caprichos de G-oya, grabadas por:él mismo, á 200.■—Un viacrucis, inventado por D. Vicente Ló pez , y grabado por D. Miguel Gamborino , á ^o.^Secontinuará.') En el Consejo supremo de Hacienda y sala segunda de Justicia, por la escribanía de Cámara al cargo de D. Andrés Melendez,. se siguen autos en grado de apelación contra D. Joaquín y D. Florencio R…</t>
  </si>
  <si>
    <t>Loaces, Domingo</t>
  </si>
  <si>
    <t>Domingo Loaces</t>
  </si>
  <si>
    <t>136 dividiendo las tropas de la división de su cargo en tres secciones, la primera á sus inmediatas ordenes, en que se hallaba el coronel del regimiento de Za ragoza brigadier D. Domingo Loaces; la segunda á las del brigadier D. Pe dro Celestino Negrete , y la tercera á las del coronel D. Josef Ruiz, que lo es del batallón de Navarra, las situó en puntos convenientes, estableciendo puestos de infantería y caballería para impedir las salidas de los s…</t>
  </si>
  <si>
    <t>…lón de Navarra, y otro oficial del regimiento de Toluca, y heridos 22 oficiales de varios cuerpo^, entre ellos algunos de mucha gravedad, y varios contusos, en que se comprende el brigadier D. Domingo Loaces, como manifiesta dicha copia, ignorando el número de individuos de tropa que han perecido, por no haber recibido las noticias correspondientes;' pero estoy informado que respectivamente han muerto menos soldados que oficiales. „ Estoy muy satisfecho de la act…</t>
  </si>
  <si>
    <t>Loaces, Domingo Estanislao de</t>
  </si>
  <si>
    <t>Domingo Estanislao de Loaces</t>
  </si>
  <si>
    <t>…: el capitán graduado D. Mariano Molina muerto; y en la división auxiliar de Nueva-Galicia ha sido herido el ayudante del comandante general de ella. Asimismo han sido contusos el brigadier D. Domingo Estanislao de Loaces, coronel del regi miento infantería de Zaragoza, y varios oficiales. El Sr. D. Joaquín de Almazan, del Consejo de S. M., teniente corregidor dé esta muy heroica villa, por providencia de 24 del corriente ha señalado el dia y del corriente para el remate de un…</t>
  </si>
  <si>
    <t>Loarte, Eladio</t>
  </si>
  <si>
    <t>Eladio Loarte</t>
  </si>
  <si>
    <t>…va de completa satisfacción á la siempre fiel ciu dad de Goatemaík El Rey nuestro Señor se ha servido conferir el gobierno del castillo de Torremolinos, en la costa de Granada, al capitán D. Eladio Loarte, tenien te de la compañía fija del Peñón; y la ayudantía del de Murviedro, en el reino de Valencia, á D. Francisco Beraza, ayudante del regimiento de ca ballería de Calatrava. En América. El gobierno militar y político de la provincia de CostaRica al teniente…</t>
  </si>
  <si>
    <t>Loder</t>
  </si>
  <si>
    <t>4</t>
  </si>
  <si>
    <t>…ter¿burgo 2 de Diciembre. El Emperador ha dado orden de comprar para la academia de medicina de Moscow el gabinete anatómico del consejero de Estado actual y médico de S. M. I. el caballero Loder. Este gabinete es uno de los mas completos c|ue existen, y contiene muchas cosas extraordinarias. S. A.'I. el gran duque Miguel llegó el 6 de Noviembre á Funagoria, y después de haber reconocido las fortalezas, los cuarteles &amp;c., partió para Kertsch, donde le…</t>
  </si>
  <si>
    <t>Loechea, Jacinto Gaona y</t>
  </si>
  <si>
    <t>Jacinto Gaona y Loechea</t>
  </si>
  <si>
    <t>…cero i de cada mes. Por providencia del Sr. IX Manuel Josef Rubio, del Consejo de S. M., y te niente de corregidor de esta muy heroica villa, refrendada dp su escribano del numero D. Jacinto Gaona y Loechea, se ha señalado el- domingo 23 del corriente, a las nueve de su mañana en la posada de S. S-, calle del Cármen, para una junta ge neral de acreedores á los bienes de D. Francisco Ontiveros, para que los que se ha llen con derecho á los citados bienes acudan e…</t>
  </si>
  <si>
    <t>Loeches, Jacinto Gaona y</t>
  </si>
  <si>
    <t>Jacinto Gaona y Loeches</t>
  </si>
  <si>
    <t>…das de correos» Por providencia del Sr. E&gt;. Joaquín Almazan, del Consejo de S. M., y tenien te primero de corregidor de esta muy heroica villa, refrendada del escribano del número D. Jacinto Gaona y Loeches, se ha mandado citar y emplazar, como por el presente se cita, llama y emplaza, á los parientes de D. Manuel Sancho y demas interesados á los bienes quedados por su fallecimiento abintestato, para que dentro del término preciso y perentorio de 20 días, contad…</t>
  </si>
  <si>
    <t>…oles ei perjuicio que haya lugar. Por providencia del Sr. D. Joaquín de Almazan, teniente primero de corregi dor de esta -muy heroica villa, refrendada por su escribano del número D. Jacinto Gaona y Loeches, se ha señalado para una junta general de acreedores á los bienes de D. Francisco Ontiveros el dia 26 del corriente en la posada de S. S., y hora de las ocho de su mañana. Lo que se hace saber á todos los que crean tener derecho á los insinuados bienes, á fin…</t>
  </si>
  <si>
    <t>Loéches, Jacinto Gaona y</t>
  </si>
  <si>
    <t>Jacinto Gaona y Loéches</t>
  </si>
  <si>
    <t>…mino de 30 dias. ror providencia dél Sr.D. Manuel Josef Rubio, del Consejo de S. M. » y te?* menté de corregidor de esta muy heroica villa, refrendada por su escribano del nume ro D. Jacinto Gaona y Loéches, fecha 5 del corriente, se cita, llama y emplaza á Don Jtlán Freiger y Cortada, ultimo tenedor del vale Real de 150 pesos de la creación dü i.° de Enero de 1808 ¿ señalado con el numero 287917, para que en el termino preciso y perentorio de ’ 20 dias, contado…</t>
  </si>
  <si>
    <t>…M. , Y teniente de corregidor de esta ~rn!y . heroica villa, Quien quisiere hacer postura á c\lalquiera de dichas fincas acuda. ante dicho sefior por la escribanía del n(ímero de D. Jacinto Gaona y Loeches. : . , l~n la l-tcal subdelegac!oll de mostrencos de la ciudad de AlcaH de Henares, y por el oficio de Eet;ignq .Vera, se siglle delltmcia á una casa sita en dicha poblacioll, conocida con el nombre de la Tahona en la, calle de este non1bre, y á una tierra, C…</t>
  </si>
  <si>
    <t>…5 días, que se admitirán las que se hicieren. . Por providencia del Sr. D. Manuel Josef Rubio, del Consejo de S. M. y tenien te corregidor de esta muy heroica villa, refrendada de D. Jacinto Gaona y Loeches, fecha 12 del corriente, se manda citar y emplazar, como por el presente se cita, lla ma y emplaza á todos los que con algún motivo sean acreedores á los bienes quedados por fallecimiento de D. Jaime Filba, vecino que fue de esta corte., para que en el términ…</t>
  </si>
  <si>
    <t>…á 6. {Se continuara*} Por providencia del Sr. D. Manuel Josef Rubio, del Consejo de S. M., y'te»ten te corregidor de esta muy heroica villa, refrendada de su escribano del número D. Jacinto Gaona y Loeches, se ha mandado sacar á pública subasta una casa sita en;esta corte, y su calle de S..Pedro, barrio de S. Cayetano, níim. 28, manz, 73, que tiene de sitio 3441 pies cuadrados superficiales, y se halla tasada en la cantidad de 94666 rs. vn. Quien quisiere compr…</t>
  </si>
  <si>
    <t>…Por providencia del Sr. D. Angel Fernandez*de los Ríos, del Consejp de S. M.,‘ y teniente primero de corregidor de esta muy heroica villa, refrendada de su escriba-^ no del número D. Jacinto Gaona y Loeches, se ha señalado el domingo 15 de No viembre próximo, y hora de las nueve de su mañana, en su posada plazuela de San Martin, para la junta general de acreedores de D. Juan Bautista Theron.«.También por auto del Sr. t&gt;. Manuel Josef Rubio, deí Consejo de S. M-,…</t>
  </si>
  <si>
    <t>…res alcaldes. Por providencia del Sr. D. Manuel J osef de Rubio, del Consejo de S. M., y te niente de corregidor de esta muy heroica villa, refrendada por su escribano del nú mero D. Jacinto Gaona y Loeches, se. ha señalado él dia 19 del presente en casa de S. S. y hora de las nueve de su mañana* para junta de acreedores á los bienes que dados por fallecimiento de Lorenzo Josef Davala, vecino que fue de Carabanchei de abajo. Se desea saber del paradero de D. And…</t>
  </si>
  <si>
    <t>…M. Cristianísima. Per providencia del Sr. O. Manuel Josef Rubio , del Consejo de S. M., tenien te de corregidor de esta muy heroica villa, refrendada por su escribano del ; número D. Jacinto Gaona y Loeches, se ha señalado el dia 6 de Diciembre próximo en la posada de S. S., y hora de las nueve de su mañana, para la junta general de acree dores é interesados á los bienes quedados por fallecimiento de D. Luis María Mafeo, vecino y del comercio que fue de libros d…</t>
  </si>
  <si>
    <t>…o fanegas, en 2800: otra en la Careaba, de una fanega, en 2©. Quien quisiere comprar dichas casas y tierras todas juntas ó separadas, acuda ante S.S.por la escribanía del cargo de D. Jacinto Gaona y Loeches dentro del término de 30 días, contados desde su pu blicación, que se admitirán las que se hicieren siendo arregladas. Gramática de la lengua latina, simplificada y reducida á nuevo método en tres libros, por D. Cipriano Lope González, impresa en 1788. Véndes…</t>
  </si>
  <si>
    <t>…5 dias, contados desde 17 del corriente, ante el Sr. D. Manuel Jo sef de Rubio, del Consejo de S. M., teniente corregidor de esta muy heroica villa, por la escribanía de número de D. Jacinto Gaona y Loeches. A virtud de Real facultad cometida al Sr. alcalde mayor de la ciudad de Aígeciras, y en consecuencia de despacho librado por este al Sr. D. Manuel Josef Ru bio-, del Consejo de S. M., teniente corregidor de esta muy heroica villa, quien lo há cumplimentado p…</t>
  </si>
  <si>
    <t>Loewehielm, Gustavo</t>
  </si>
  <si>
    <t>Gustavo Loewehielm</t>
  </si>
  <si>
    <t>…amtschatka. En Moscow se están haciendo ya preparativos para el recibimiento de S. M. el Rey de Prusia, que se hospedará en el kremlin con la familia Im perial. Ayer llegó aqui el conde Gustavo Loewehielm , que viene de Suecia á dar parte de las novedades .ocurridas en aquel Gobierno. SUECIA. Stockolmo 13 de Marzo. Ayer murió aqui á los 54 años de edad el conde Fabien de Fersen* grande del reino, caballero del orden de los Serafines, gran chambelán y ge fe del…</t>
  </si>
  <si>
    <t>Loewenhielm, Cárlps</t>
  </si>
  <si>
    <t>Cárlps Loewenhielm</t>
  </si>
  <si>
    <t>…omisión de la mayor importancia, y evacuada esta se trasla dará ;en derechura á Viena. Durante su ausencia suplirá sus veces en calidad .de ministro plenipotenciario su hermano el conde Cárlps Loewenhielm. En la misma noche en que murió el Rey se despachó un correo á Petersburgo. El encargo de participar á la corte de Inglaterra la muerte del Rey y la elevación al trono del Rey Carlos Juan se ha conferido ál barón de Stierneld, que se halla todavía en Londres,…</t>
  </si>
  <si>
    <t>Loewenhielm, Gustavo</t>
  </si>
  <si>
    <t>Gustavo Loewenhielm</t>
  </si>
  <si>
    <t>…ficiales ■y á dbs soldados por compañía, alojándolos en el salón de la Lonja, yadejnas ha dado i las tropas de línea una gratificación en dinero. Hoy debe salir de aquí el general conde Gustavo Loewenhielm, minis tro de Suecia cerca de la corte de Viena, que marcha á Petersburgo á des empeñar una comisión de la mayor importancia, y evacuada esta se trasla dará ;en derechura á Viena. Durante su ausencia suplirá sus veces en calidad .de ministro plenipotenciario…</t>
  </si>
  <si>
    <t>Loewenhielm, Gustavo de</t>
  </si>
  <si>
    <t>Gustavo de Loewenhielm</t>
  </si>
  <si>
    <t>…* En-el dia hay en Gottemburgo varios buques anglo-americanos que están haciendo grandes cargamentos de hierro. " Idem 27. Dentro de poco saldrá de aqui para su destino el general conde Gustavo de Loewenhielm, nombrado por S. M. enviado extraordinario y ministro plenipotenciario cerca de la corte de Francia. Ayer se dio orden parji que la corte se vistiese por ocho dias de luto con motivo de la muerte del Príncipe de Condé. DINAMARCA. Copenhague 14 de Junio. Con f…</t>
  </si>
  <si>
    <t>Lois, Francisco Antonio</t>
  </si>
  <si>
    <t>Francisco Antonio Lois</t>
  </si>
  <si>
    <t>…as curatos, que también se valen del referido mé dico. Los pretendientes dirigirán sus memoriales, francos de porte, hasta el dia úl timo de Febrero al secretario del ayuntamiento D. Francisco Antonio Lois. Dicha plaza se proveerá en el mas benemérito el dia 6 de Marzo sin falta alguna. En la villa de Moya, provincia de Cuenca, se halla vacante la cátedra de lati nidad, que se ha de proveer por oposición el 7 de Marzo del presente año: su do tación son 300 duca…</t>
  </si>
  <si>
    <t>Loisele, Casto</t>
  </si>
  <si>
    <t>Casto Loisele</t>
  </si>
  <si>
    <t>…sistema de presentación y pago de di chos intereses. ' ' Por Real resolución de 26 de Noviembre último, á consulta del Consejo supremo de la Guerra, se ha servido S. M. conceder á D. Casto Loisele, far macéutico éir la villa de. Alcolea del Pinar, el fuero militar, y uso.de unifor-, me de practicante de farmacia de egércitó, en premio de los servicios que ha, hecho en esta clase endas boticas militares durante la última guerra ;&lt; decla rando al mismo t…</t>
  </si>
  <si>
    <t>Londoño, Simón</t>
  </si>
  <si>
    <t>Simón Londoño</t>
  </si>
  <si>
    <t>56 buques de guerra y transportes, que al mando del teniente de navio Don Simón Londoño conducían el resto de las tropas del egército de la capital, habiendo recibido por varios espías noticias positivas de que el caudillo las Heras esperaba por instantes refuerzos de la capital de Santiago, determiné atacarle, antes que los recibiese, con el pe…</t>
  </si>
  <si>
    <t>Loño, Angel</t>
  </si>
  <si>
    <t>Angel Loño</t>
  </si>
  <si>
    <t>…Sancho Pardo y D. Domingo Agustín; y del de Castilla contusos el capitán de granaderos D. Juan de Lo bo, el teniente D. Ventura Salgado, y los subtenientes D. Pedro Fernandez . y D. Angel Loño; del.de húsares también contuso de bala de cañón el porta D. Francisco Ximenez.</t>
  </si>
  <si>
    <t>…nos de estos1 por haberle muerto su caballo. Del regimiento de Castilla al teniente coronel? capitán D. Josef Izturriz , que fue herido cargando al enemigo: al teniente» del mismo D. Angel Loño, que sufrió igual suerité: al ayudante graduado capitán D. Antonio López; á los tenientes D. Genaro Martin y I&gt;. Blas Ve" ga , y á los subtenientes D; Josef de la Callea D¿ Pedro Eernández y Don: Antonio Negra, que fueron los primeros en ocupar las posiciones…</t>
  </si>
  <si>
    <t>Lope, Manuel</t>
  </si>
  <si>
    <t>Manuel Lope</t>
  </si>
  <si>
    <t>de Csrabanchel de abajo# en el juzgado civil del señor alcalde de Casa y Corté Don Martin de Gaztañaga, y escribanía de provincia y comisiones de D. Manuel Lope*, de Rivas# se ha mandado por dicho señor citar y emplazar, como se hace por me dio de este periódico, á lodos los que se contemplen acreedores á Ja referida testa mentaría, para que en el término de 15 días, contados desde el 12 del corriente, so presenten e…</t>
  </si>
  <si>
    <t>López</t>
  </si>
  <si>
    <t>…niciones, 400 caballos y dos banderas, lanzas y otras armas de fuego. ! *■! v ,, Nuestra pérdida ha consistido en 10 hombres; pero es sensible la muer te del valeroso y benemérito coronel López dé. herida :de. bala al principio de la'acción.1 ; - r'~ * • 7 *■ .v*vi .&lt;. „ El 2 del corriente fue derrotado Paez completamente ;eíi las i inmediacio nes de Cógede y de S. Cárlos, sufriendo, uha mortandad laorrorosa, que se gradúa en mas de 1® hombres: se l…</t>
  </si>
  <si>
    <t>López, Antonia María</t>
  </si>
  <si>
    <t>Antonia María López</t>
  </si>
  <si>
    <t>…ones á una de las huérfanas de los militares ó patriotas que hubieren muerto en defensa de la justa causa de la nación, ha cabido en suerte del primer extracto de la de este día á Doña Antonia María López, hija de D. Josef, teniente que fue del regimiento de infantería de Sevilla, muerto en el campo del honor.</t>
  </si>
  <si>
    <t>López, Antonio</t>
  </si>
  <si>
    <t>Antonio López</t>
  </si>
  <si>
    <t>…Castilla al teniente coronel? capitán D. Josef Izturriz , que fue herido cargando al enemigo: al teniente» del mismo D. Angel Loño, que sufrió igual suerité: al ayudante graduado capitán D. Antonio López; á los tenientes D. Genaro Martin y I&gt;. Blas Ve" ga , y á los subtenientes D; Josef de la Callea D¿ Pedro Eernández y Don: Antonio Negra, que fueron los primeros en ocupar las posiciones del enemi"? go: al teniente coronel capitán Di Domingo* Antonio PcÉa, y…</t>
  </si>
  <si>
    <t>López, Antonio Sanz</t>
  </si>
  <si>
    <t>Antonio Sanz López</t>
  </si>
  <si>
    <t>…Don Benito Munduate. Ultimamente en la clase de humanidades ó retorica logró el primer pre mio D. Marcos Velaz; y el segundo D. Romualdo Sasa, siendo merirorios D. Fausto Oráyen, D. Antonio Sanz López y D. Mariano Ciá. En el dia 14 se repartieron los premios, que consistían en libros y me dallas de plata, á presencia del ayuntamiento, de la junta de estudios y es cuelas, y de un numeroso concurso. Hecha la distribución de los 24 premios ordinarios y del extraordinario da d…</t>
  </si>
  <si>
    <t>López, Bernardo</t>
  </si>
  <si>
    <t>Bernardo López</t>
  </si>
  <si>
    <t>…os. Toluca Mayo 2 de i8i8 = Excelentísimo Sr. = Nicolás Gutiérrez. = Excmo. Sr. virey D, Juan Ruiz de Apodaca.” Idem $ de Junio. PROVINCIA DE CHALCO. Oficio del teniente coronel y comandante D. Bernardo López. i.° ,, Excmo. Sr.: Paso á las superiores manos de V. E. ios adjuntos partes semanales de los puntos militares de esta demarcación, la que se halla en la mayor tranquilidad; pues aunque el parte semanal del punto de Ozumba avi sa de algunas ocurrencias que ha…</t>
  </si>
  <si>
    <t>López, Carlos</t>
  </si>
  <si>
    <t>Carlos López</t>
  </si>
  <si>
    <t>…bres 1 aunque instada ya por Bo lívar para asesinarle, no quiso egecutarlq. ~ ,,En este tiempo apareció en Maturin una Ipartida de 36 hombres prófur gos de la acción de la casa de D. Carlos López , que se reunió allí; y ha biendo salido este de Maturin-para el pueblo, de A ragú a, encontró á D. San tiago. Marino con otra de poco mas de 50. Marino; fue atrozmente insultado por Piar , y al fin desafiado ; pero aquel, ó bien por poco inclinado á los desa…</t>
  </si>
  <si>
    <t>López, Cesáreo Sanz</t>
  </si>
  <si>
    <t>Cesáreo Sanz López</t>
  </si>
  <si>
    <t>…ase de rudimentos de latinidad gano el primer premio D. Josef Gorraiz, y el segundo D. Angel Isturiz; habiendo sido meritorios D. Josef Nuin, D. Manuel Arbide, D. Félix Ii*iarte y D. Cesáreo Sanz López. En la clase de sintaxis se adjudico el primer premio á D Eugenio Subi za; y el segundo áD. Antonio Iribertegui, siendo meritorios D. Carlos Zua^ ti, D. Benito Ojer y D. Domingo Ramírez. En la clase superior de latinidad obtuvo el premio primero D. Justo Pe r…</t>
  </si>
  <si>
    <t>López, Domingo</t>
  </si>
  <si>
    <t>Domingo López</t>
  </si>
  <si>
    <t>…interinamente en esta fecha al capitán D. Josef Alvar Gon zález y teniente D. Ramón de Polledo, del regimiento de Asturias; á los te nientes del de Castilla D Antonio Casariego y D. Domingo López, y al subteniente del mismo D. Juan Sánchez; al de igual clase del Real cuerpo de artillería D. Josef Obeira , y al sargento primero de Asturias D. JosefPoo y Lozana, á los cuales, como igualmente á los demas individuos que se halla ron en el sitio , y recomi…</t>
  </si>
  <si>
    <t>…a, desde una bar ranca, tiró algunos tiros é hirió un cazador, aunque no de gravedad; pero fue igualmente dispersa por el capitán graduado de la compañía de cazado res de Castilla D. Domingo López, y «1 teniente del Príncipe D. Manuel Torres, haciendo que algunos se despedazasen en las profundas barrancas. „E1 resultado de ésta expedición ha sido haber cogido 6 rebeldes , entre ellos un coronel, 3 carabinas, 8 caballos, y haber reconocido con prolijida…</t>
  </si>
  <si>
    <t>López, Félix</t>
  </si>
  <si>
    <t>Félix López</t>
  </si>
  <si>
    <t>…ínez 2 , Don Juan: Esteban de dEehezuria 20, D. Bernardo Pénelas 20, T). Antonio Na;yarro 20, D. 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 Rafael Minteguiaga 15, D. Ramón Go mia 10, D. Josef Ramón Z…</t>
  </si>
  <si>
    <t>López, Francisco Xavier</t>
  </si>
  <si>
    <t>Francisco Xavier López</t>
  </si>
  <si>
    <t>…ión de Porongo; D. Josef Andrés Salvatierra, cura interino de S. Pedro de Buena vista, arzo bispado de Charcas; D. Josef Mariano Caílau, cura de Santiago ¿ provincia de Chiquitos; D. Francisco Xavier López, cura de S. Rafael en dicha pro vincia ; D. Juan Lorenzo de Limpias, ex-cura de dicha provincia. x Seculares. D. Lorenzo Moreno, abogado de la Real audiencia de Charcas; Doña María Mercedes Moreno, su hermana; D. Lorenzo del Ribero , capitán de milicias de ca…</t>
  </si>
  <si>
    <t>López, Gonzalo</t>
  </si>
  <si>
    <t>Gonzalo López</t>
  </si>
  <si>
    <t>alumnos bachilleres D. Félix de Federico, D. Casimiro Herrezuelo, D. Ma riano 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premios expresados, y teniendo en consi…</t>
  </si>
  <si>
    <t>López, J-tiatr</t>
  </si>
  <si>
    <t>J-tiatr López</t>
  </si>
  <si>
    <t>…rrez de Bustillo, á l&gt;on Miguel Antonio Blanes , regente dé Astárías ; para esta regencia a D. Jacobo Teijtir'ó, oidor efe la audiencia dW la Coruña , y para la de este tribunal á Don J-tiatr López dé Virítíes*,’que servia la de Mallorca. Asimismo se ha servido S. M. conceder plaza efectiva de oidor del consejo de Navarra al supernume rario del mismo tribunal D Josef María Zuaznabar y Francia; los honores del tribunal de 1SL Rora de la Nunciatura apostó…</t>
  </si>
  <si>
    <t>López, Josef</t>
  </si>
  <si>
    <t>Josef López</t>
  </si>
  <si>
    <t>…cción de las conservadurías de montes. De orden del Rey lo traslado á V. S. para su inteligencia y cumplimiento. Palacio 10 de Diciembre de 1817.”. &gt; • &lt; ' • . Por providencia del Sr. D. Josef López de l Pan , del Consejo de S. M., su al calde de Casa y Corte, dictada en 5 del corriente, y refrendada del escribano da provincia y comisiones de la misma D. Lilis López de Castro, se ha mandado sacar á pública subasta por término de 30 dias, contados desde 1…</t>
  </si>
  <si>
    <t>…uida el vice-director D. Miguel Velez y Sanmartín leyó otro dis curso, dirigido á manifestar la utilidad de esta distribución de. premios. Des pués dei cual el v ice-r secretar jo D. Josef López presentó un resúraen de todas las deliberaciones y objetos que habían llamado la atención de la sociedad en todo el año;, yen seguida leyó el acta preparatoria&gt; en la que con arreglo á lo informado por las respectivas comisiones se asignaron los premios á los…</t>
  </si>
  <si>
    <t>…alado para su remate el día 9 de Enero del año próxi mo venidero, á las 1 2 en punto, en la audiencia del mismo señor alcalde y citada escribanía de provincia. Por providencia del Sr. D. Josef López dei Pan, del Consejo de S. M., alcalde de la Real Casa y Corte, dada en 5 deL corriente, y refrendada del escribano de provincia y comisiones de la misma D. Luis López de Castro, se cita, llama y em plaza por término primero y último de 30 dias , contados des…</t>
  </si>
  <si>
    <t>López, Jotef</t>
  </si>
  <si>
    <t>Jotef López</t>
  </si>
  <si>
    <t>…parará el perjuicio que baya lugar. Por decreto de los señores del Consejo de 4 del corriente, mandado guardar y cumplir por auto del mismo día, dado por el señor alcalde de corte D. Jotef López</t>
  </si>
  <si>
    <t>López, Luis</t>
  </si>
  <si>
    <t>Luis López</t>
  </si>
  <si>
    <t>…idencia del Sr. D. Josef López del Pan, del Consejo de S. M., su alcalde de Casa y Corte, dada en 7 del corriente, y refrendada del escribano de provincia y comisiones de la misma D. Luis López dé Castro, se ha mandado sacar á pública subasta por término de 20* días,contados des de el de su publicación en este periódico , una casa sita eiv esta corte y su calle del Relox , barrios de $. Francisco, núm. 9, rnanz. 105/que tiene de sitio 1601 pies cuad…</t>
  </si>
  <si>
    <t>López, Nicasio</t>
  </si>
  <si>
    <t>Nicasio López</t>
  </si>
  <si>
    <t>…ia 2.0 D. Pedro Navarro acerca de las leyes del equilibrio de los flui dos y sus consecuencias; D. Mariano Pinos del movimiento de los fluidos y distribución de las aguas. Día 3.0 D. Nicasio López sobre la resolución de los triángulos rectilíneos y su utilidad; D. Miguel Garcés de las leyes del equilibrio, y ventajas que adquiere la potencia con las máquinas. Dia4.° Don Josef Yarza acerca del origen y fundamento del cálculo diferencial; D. Pe dro Garcí…</t>
  </si>
  <si>
    <t>…que consistía en otra igual medalla de plata, y las obras de mate máticas de Vallejo y Lacroix: que atendido el buen desempeño de los res tantes, se habia dispuesto recompensar á D. Nicasio López, D. Josef Yarza y p» Anacleto Toron con un egemplar á cada uno de la obra del Vallejo, y á D. Mariano Pinos, D. Miguel Garcés y D. Pedro García con otro de la de Lacroix, cuyas obras ricamente encuadernadas en pasta tenían en la cubierta una leyenda que decía…</t>
  </si>
  <si>
    <t>López, Rafael</t>
  </si>
  <si>
    <t>Rafael López</t>
  </si>
  <si>
    <t>GSi ,,Et 17 de Abril próximo pasado por la madrugada atacó D. Rafael López con la columna de su mando al rebelde Bolívar, que con 700 caballos y a50 infantes se hallaba acampado en el rincón de los Toros, cerca de S. Josef de Tiznados, y le mató 400 hombres, haciéndole porción de prisioneros. En tre los muertos-Se cuentan muchos gef…</t>
  </si>
  <si>
    <t>…onzález. =. Sr. capitán general de estas provincias.” 4.0 Ofiíio dtl Exento. Sr. D. Pablo Morillo alxapitan general interino de Venezuela. ,, D. Domingo Volcan, de la división del coronel D. Rafael López, aca bale llegar con dos. banderas cogidas á los rebeldes en la brillante acción del Rincón dé fós Toros, donde el traidor Bolívar ha sido completamente der rotado. ■ . ; : / í;' f „ Trescientos muertos, too prisioneros , 400 fusiles, 30 cargas dé muniT ¿ione…</t>
  </si>
  <si>
    <t>…ebelde' Bolívar coh más efe 709 caballos y 3 5 0 infantes. Al acercarnos á su campamento se'cogióun cría? do de este, y- habiendo dicho el parage fdoíidé su amo dormía, dispuso eí coronel D. Rafael López que el gefe de estado mayor D. Tomas Renoval**! fuese con uná partida; de infantería á ver si podía ¡cogerle; pero después dé haber penetrado este gefe con el mayor sigiló por el campamento enemigó) al acercarse á la mata donde dormía Bolívar ,• se eiicóiitro…</t>
  </si>
  <si>
    <t>…ARTICULO DE- OFICIO'. El teniente general D. Pablo Morillo con fecha de 4 de Abril ultimo re mite al Excmo. Sr. secretario del despacho de la Guerra copia del parte que le dio el coronel D. Rafael López, comandante de la vanguardia de la segun da división, desde el sitio llamado Caiman, en Venezuela, el cual es coi' mo‘ sigue : . -&lt; „Excmo. Sr.: La rapidez de las marchas y la precipitación con que he puesto mis oficios, no me han permitido extenderme á circu…</t>
  </si>
  <si>
    <t>López, Rátael</t>
  </si>
  <si>
    <t>Rátael López</t>
  </si>
  <si>
    <t>…entro, y á los costados la caballería. Nuestra línea estabá compuesta de una compañía de honor de oficiales agregados, y el escuadroñ de S. Francisco de Tisnádos á las órdenes del coronel D. Rátael López. En el centró la infantería feñ columna cerrada mandada por el teniente coronel' Capitán de cazadores de NaVerra D. Salvador de Medina. La izquierda lá Ocupaban el primero y* segundo escuadrón de lanceros del Rey á mis órdé-r nes, y la reserva constaba dél té…</t>
  </si>
  <si>
    <t>López, Tomas</t>
  </si>
  <si>
    <t>Tomas López</t>
  </si>
  <si>
    <t>…letra, y francos de porte, al cura párroco y justicia de dicha villa basta el 30 del próximo Junio, expresando en ellos su pa tria,'edad y residencia. En e! despacho geográfico de D. Tomas López, calle de Atocha, frente á la ca sa de los Gremios, cuarto principal, se hallarán unos cuantos egemplares de la car ta del mar Mediterráneo entre Europa , Asia y Africa, publicada por D. Isidoro de AntilloR en 1811. EN XA IMPRENTA REAL. * ..</t>
  </si>
  <si>
    <t>López, Vicente</t>
  </si>
  <si>
    <t>Vicente López</t>
  </si>
  <si>
    <t>…1 rs. én rustica: puede ir en carta. En el almacén de estampas de la calle Mayor, frente á la casa del conde de Oñate, se hallará la estampa de la Santísima Trinidad, dibufada por D. Vicente López, y grabada en cuartilla de marca mayor por D. Francisco Jordán; S. Isidro labrador, S. Juan Nepomuceno, grabadas por Noseret; S. Felipe Neri, por Bruneti, todas en cuartilla de la misma marca, á g rs. cada una. Hay de otras muchas de es te y otros diferentes…</t>
  </si>
  <si>
    <t>…do, el director D. Antonio López Aguado. Con igual agrado vieron después las obras y dibujos de los discípulos del natural y del yes?, manifestando á los directores de estas salas D. Vicente López y D. Esteban de Agreda^euan satisfechos quedaban de los adelantamientos de los jóvenes que tenían á su cargo , y de su zelo y acierto eu su dirección y enseñanza. Concluida de este modo tan satisfactorio para la Academia la inspección que SS. MM. y AA. se dignaron hacer de las sala…</t>
  </si>
  <si>
    <t>López, Xavier Sanz</t>
  </si>
  <si>
    <t>Xavier Sanz López</t>
  </si>
  <si>
    <t>…la clase superior de latinidad obtuvo el premio primero D. Justo Pe rez; y el segundo D. Fermín Lasa, siendo meritorios D. Domingo Muguerza, D. Josef Id ion da, D. Francisco Goñi, D. Xavier Sanz López y Don Benito Munduate. Ultimamente en la clase de humanidades ó retorica logró el primer pre mio D. Marcos Velaz; y el segundo D. Romualdo Sasa, siendo merirorios D. Fausto Oráyen, D. Antonio Sanz López y D. Mariano Ciá. En el dia 14 se repartieron los premios, que consistían en l…</t>
  </si>
  <si>
    <t>Lópezhonor, Rafael</t>
  </si>
  <si>
    <t>Rafael Lópezhonor</t>
  </si>
  <si>
    <t>…ta fraile Piado, capellán de Bolívar, y ‘ ‘ .ótro¿ muchos gefés y oficiales. ’/ ;■* .,, En medio de estas satisfacciones hémo$ tenido el profundó dolor de í'd muerte del dignísimo coronel D. Rafael Lópezhonor del egército’ expedly ¿lonario , cuya pérdida ílorarémos siempre. Fste bizarro gefe murió en él úl timo choque-, ya decidida la victoria , .cuando todo estaba destruido , tenién^ do el infortunio dé ser éí único oficial qué ha perecido en una acción que solo…</t>
  </si>
  <si>
    <t>Lor, María</t>
  </si>
  <si>
    <t>María Lor</t>
  </si>
  <si>
    <t>…el juzgado del referido señor juez, á deducir y exponer su derecho; con apercibimiento que de no hacerlo Ies parará el perjuicio que haya lugar. Se solicita saber el. paradero de Doña María Lor^to Bueno y Monterrosó, hija de D. Salvador Bueno y de Doña María Monterroso, naturales de la ciudad de Ecija, ó de sus hijos en caso de su fallecimiento , mediante á tener en la villa de Bornós, arzobispado de Sevilla, parte de una herencia que se halla en po…</t>
  </si>
  <si>
    <t>Loranca, Miguel</t>
  </si>
  <si>
    <t>Miguel Loranca</t>
  </si>
  <si>
    <t>…ntados á indulto con Vargas en lolúca. ' ‘ ‘ ' . D. Vicente Vargas, titulado brigadier ; D. Eugenio Montesdeoca , id. sargento mayor. Infantería, D. Josef María Sosa, id. capitán; D. Miguel Loranca, id. teniente ayudante; D. Mariano Astorga/ ¡di id.; D. Narciso Ríos , id. id.; Miguel Somoza, sargento primero; Josef María Vargas, id. id¿; Josef María Gutiérrez; id. segundo; Martia García, id. id.; Ignacio Martinez, tambor; Josef Eduardo, cabo primero; Jo…</t>
  </si>
  <si>
    <t>Loren-, Higinio Antonio</t>
  </si>
  <si>
    <t>Higinio Antonio Loren-</t>
  </si>
  <si>
    <t>…ctor en "medicina de la facultad de París, pro* fesor de medicina y cirugía latina y de las enfermedades de las mugeres y niños.&amp;c., traducido de la segunda edición de 1816 por el doctor D. Higinio Antonio Loren-, te, médico honorario de Cámara de S. M., catedrático jubilado de química &amp;c. Esta obra, aderpas de la fina teoría y preceptos prácticos que contiene, está tratada por. un método particular y.prqpio del autor en cuanto á la clasificación de los p.artos, el nú…</t>
  </si>
  <si>
    <t>Lorente, Higinio Antonio</t>
  </si>
  <si>
    <t>Higinio Antonio Lorente</t>
  </si>
  <si>
    <t>…berse convenido todos en admitirla , y escribir sus obras con arreglo á la misma: escrita en francés por Mr. J. B. Caventou, traducida y auinentada con algu nos nombres por el Dr. D. Higinio Antonio Lorente, médico honorario de Cámara: de S. M., y catedrático jubilado de química &amp;c.: un tomo en 8.° marquilla. Se ven de en la librería de Calleja, calle de las Carretas, á 16 rs. en rustica y 18 en pasta. En la misma se hallarán el tratado de enfermedades de mugere…</t>
  </si>
  <si>
    <t>Lorenzo</t>
  </si>
  <si>
    <t>…la de Segovja, por muefte dé D. Juan de Benito, á Di Juan Antonio Jordán, capellán del regimien to de caballería de Borbon: eñ la de Lérida, por la dé D. Josef Villar Gorozabel, á D. Lorenzo -Leris, capellán que fue del primer escuadrón de arti llería volante; y en la de Tarazona, por fallecimiento de D. Manuel Alcalá, á D, Diego Molina, capellán del segundo regimiento de Artillería.</t>
  </si>
  <si>
    <t>Lorrío, Francisco</t>
  </si>
  <si>
    <t>Francisco Lorrío</t>
  </si>
  <si>
    <t>…de Sta. Cruz: ¿ D. Ildefonso Morales, maestro de la Real escuela del barrio de S. Nicolás: al Dr, D. Vicente Aso, presbítero, maestro de ía Real escuela del barrio de S.'Marcos: á D. Francisco Lorrío, maestro de la Real escuela del barrio de Buenavista: á D. Tomas* Rodríguez, maestro de la Real escuela del barrio de S. Pascual: á D. Julián Rojo, maestro de la Real escuela del barrio del Car men calzado: á D. Aquilino Paloniiño, maestro de la Real escuela…</t>
  </si>
  <si>
    <t>Losada, Gerónimo</t>
  </si>
  <si>
    <t>Gerónimo Losada</t>
  </si>
  <si>
    <t>…renzo Treillan- 5 , D. 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Sres. Perez y Chaves 4, D. Ramón Gutiér rez 6, D. Feliciano Borges 4, D. Josef Hernández Horta 4 , D. Matías Cas tro 4, D. Juan V ícent…</t>
  </si>
  <si>
    <t>Loureiro, Josef María</t>
  </si>
  <si>
    <t>Josef María Loureiro</t>
  </si>
  <si>
    <t>…ez, D. Florencio Pereira, D. Francisco Pumar y D. Cosme Arias. En cosmogra fía los expresados Martínez, Pumar, Alonso, Pereira, Arias, Veiga, D. Be nito Pereira, D. Josef Pujadas, D. Josef María Loureiro y D. Fermín Galceran. En navegación los referidos Martínez, Pujadas, Loureiro, Pumar y D. Benito Pereira; y en geografía los expresados Martínez, D. Benito y Don Florencio Pereira: habiendo merecido la aplicación de todos y sus adelanta mientos, no solo en las materias sobre que…</t>
  </si>
  <si>
    <t>Loustalet, Juan</t>
  </si>
  <si>
    <t>Juan Loustalet</t>
  </si>
  <si>
    <t>…gulo, D. Josef Gó mez Hormigo y D. Francisco Rodríguez, de Jerez : D. Josef Auñon, de Mo ren : D. Juan Aguado, de las Cabezas: el hermano Josef de la Cruz Menacho, de Puerto-Real: D. Juan Loustalet, de Cádiz: D, Agustín Fernandez, de Bornos: D. Juan Bolaños, de Zalamea: D. Pedro Romero Balmaseda, de Se villa; y D. Manuel Lerena y Caro, de Trebujena. El caballero Espinosa mostró á nombre de lá hermandad su satisfacción al</t>
  </si>
  <si>
    <t>Lowenhielm, Carlos de</t>
  </si>
  <si>
    <t>Carlos de Lowenhielm</t>
  </si>
  <si>
    <t>5io cía. También se asegura que el conde Carlos de Lowenhielm, qae se halla de enviado en Petérsburgo, pasará á Viena , debiendo íreempiazarle en la coite de Rusia el general Bjorsterna. ?. ■* , ■ ; rT £ Tv/T&gt;IN$pMOCA. * 1"': ■ ■■-■r r €óftnka¿üá-j\ ^e Abril: ’ '-•- &gt;•* Ayer se publicó aquí un Real decreto relativo al e…</t>
  </si>
  <si>
    <t>Lowenhielm, Gustavo de</t>
  </si>
  <si>
    <t>Gustavo de Lowenhielm</t>
  </si>
  <si>
    <t>…urante ella co mo en todo el día, manifestó eí mayor entusiasma , y dió. un público testi monio del amo# qué profesa'a sii Soberano. ^ " ' : SUECIA. ' : . Stockolmo 2 de Abril. El conde Gustavo de Lowenhielm, actual ministro de esta corte en Vie rta, ha sido, nombrado para;residir cotí el mismo carácter en Ja corte de Fran-</t>
  </si>
  <si>
    <t>Loyola, Domingo</t>
  </si>
  <si>
    <t>Domingo Loyola</t>
  </si>
  <si>
    <t>…s enemigos, fa voreciéndonos mucho un copiosísimo aguacero que ocultó nuestro movimiento. Gomo mi principal intento era cercarlos para que no se escapasen, dispuse que el teniente coronel D. Domingo Loyola marchase á carrera con los escua drones de Sta. Rosa y Sta. Lucia á cortarles por nuestra izquierda el camino del rio, y que el teniente coronel D.Josef Moles se dirigiese por la derecha á impedirles la retirada por Cañoseco, debiendo la infantería dirigirse…</t>
  </si>
  <si>
    <t>Lozana, JosefPoo y</t>
  </si>
  <si>
    <t>JosefPoo y Lozana</t>
  </si>
  <si>
    <t>…tonio Casariego y D. Domingo López, y al subteniente del mismo D. Juan Sánchez; al de igual clase del Real cuerpo de artillería D. Josef Obeira , y al sargento primero de Asturias D. JosefPoo y Lozana, á los cuales, como igualmente á los demas individuos que se halla ron en el sitio , y recomienda el coronel Hevia, les he concedido un escudo de distinción en campo azul con el lema: Por la toma de Palmillas* ,,En otros partes que se han recibido del mismo v…</t>
  </si>
  <si>
    <t>Lozano, Francisco Xavier</t>
  </si>
  <si>
    <t>Francisco Xavier Lozano</t>
  </si>
  <si>
    <t>…mio si identifica su nombre: 1500 rs. vn. á D. Vicente Taengua por haber hilado con perfección seda del país por el método de Vaucanson; y últimamente patente de socio de mérito á D. Francisco Xavier Lozano por haber hilado también seda por el expresado método de Vaucanson, superior en delgadez, finura y consistencia, A continuación el P. Mtro. Fr. Josef Agustín Montaner, del orden de S. Agus tín , leyó una memoria del establecimiento y estado actual de la casa…</t>
  </si>
  <si>
    <t>Lozano, Juan Estéban</t>
  </si>
  <si>
    <t>Juan Estéban Lozano</t>
  </si>
  <si>
    <t>…lenipot enciario , sentado en uno de los taburetes que había cerca de la mesa de la 'izquierda dél dosel, firmo en segunda coltímná ál frente de la última Persorfa Real. El3 Excmo.Sr. D. Juan Estéban Lozano, de Torres usó del otro tabu rete que le estaba destinado para firmar lá escritura Como notario publico, y después legalizó-'uno dé los dos: ejemplares originales, que entregó ál señor Ministro Plenipotenciario para que lo remitiese a su corte. L Concluido el…</t>
  </si>
  <si>
    <t>Lozcos, Mariano</t>
  </si>
  <si>
    <t>Mariano Lozcos</t>
  </si>
  <si>
    <t>…n el mayor valor y atrevimiento, habiendo rechazado á un enemigo muy superior que se lisonjeaba de destruirlos: el capitán D. Josef Rodríguez, y los tenientes D. Benigno Be raza y D. Mariano Lozcos se dis tinguieron por su osadía y la serenidad con que llevaron sus soldados al combate , por cuya razón los recomiendo particularmente á la consideración de V. E- por si se digna poner esta acción en conocimiento de S. M. ,,Dros guarde á V. E. muchos años. C…</t>
  </si>
  <si>
    <t>Lpon</t>
  </si>
  <si>
    <t>…e Valdecarzana, tasada en 142380 rs. vn., y por la cual dan la misma cantidad en dinero metálico, se ha de rematar el dia7 de Julip prpximo i las 12 de la mañana, en la posada del Sr. D. Lpon de la Cámara Cano, Conscjo;de S. M. en el Supremo del Almirantazgo, jiiez de co*? mision en dicho asunto, pof an^e.D.-Claudio Sanz, escribano de número* / Por providencia del'. átf /D. ¡Josef López del Pan, del"Consejo de S, ^ su aí&lt;i calde de CasayCorte , da…</t>
  </si>
  <si>
    <t>Lu</t>
  </si>
  <si>
    <t>…ntimo de Justicia Martin, tratan casi exclu sivamente de los asuntos de Alemania. Ademas de estos periódicos se publi ca otro en Jena con el título de Nemesis, de que es editor el profesor Lu den. En el gran ducado de Weimar se dan á luz varios periódicos literarios que tienen mucha reputación. Entre todos los papeles que tratan de litera tura íos mas célebres son la gaceta literaria de Jena, la de Hallen y ios anuncios literarios de Grottinga. El…</t>
  </si>
  <si>
    <t>Luaces, Domingo Estanislao de</t>
  </si>
  <si>
    <t>Domingo Estanislao de Luaces</t>
  </si>
  <si>
    <t>520</t>
  </si>
  <si>
    <t>…do marchaba de mi campo á guarnecer el Tepeyac la fuerza de que yo me había desprendido al efecto, se me avisó desde aquel escarpado y respetable fortín se hallaba dentro de él el brigadier D. Domingo Estanislao de Luaces, coronel del regimiento infantería de Zaragoza, y gefe de la pri,mera sección , cuyo satisfactorio anuncio me dejó de pronto perplejo, porque se hallaba enfermo en el Plan este intrépido y apreciable gefe, y dudaba que tan pronto hubiese podido superar tanto…</t>
  </si>
  <si>
    <t>Lubian, Josef María</t>
  </si>
  <si>
    <t>Josef María Lubian</t>
  </si>
  <si>
    <t>5°4 • . , coronel D. Carlos Abaría Llórente, y también la que ajamando del teniente coronel D. Josef María Lubian se anticipó desde Ixhuztlan, que era donde lo situé con anterioridad. , * « El primero marchó ayer á situar dos destacamentos &amp;- larga distancia, para que en comunicación Con Lubian,que quedará en este punto con fuerza respetable, aseguren lá tranquilidad que…</t>
  </si>
  <si>
    <t>Lubomirska</t>
  </si>
  <si>
    <t>…el barón de Kolokolzofr, decano de los consejeras. , POLONIA. I Tarsovia 2/ de Mayo. El día 3 del corrie ite llego Sí M; á¡ Gregorowka, posesión de la condesa de Rzewuska, hija de príncipe Lubomirska, y al día siguiente pasó rerista ai séptimo cuerpo del egército, mandado por el general principé Gorezakow: el día 5 pasó re/ista general del egército en la llanura que hay entre Gregorowka y Paszkewce; por ia noche asistió á un baile que dio en su ob sequio…</t>
  </si>
  <si>
    <t>Lucas, Josef</t>
  </si>
  <si>
    <t>Josef Lucas</t>
  </si>
  <si>
    <t>…se admitirán las que se hagan siendo arregladas en el término de 30 dias, con tados desde el dia 12 del corriente. Doña Rita Casteila, bautizada y casada en la ciudad de Cádiz con D. Josef Lucas, natural de Barcelona, salió de dicha ciudad de Cádiz en el año de 1800 con géneros, mercancías y otros efectos, sin saberse su paradero desde el año de 1803: solo se ha tenido noticia por varios sugetos de que fue asesinada por los fran ceses en la retirada…</t>
  </si>
  <si>
    <t>Luden</t>
  </si>
  <si>
    <t>…or los gen— dar mas á la prisión de Wartbourg para sufrir seis semanas de cárcel 2 que ha. sido condenado por haber infringido las leyes relativas á la libertad de la imprenta. El profesor Luden y. que había vuelto para obtener la plaza de protector,, ha tenido el disgusto de ver que se ha conferido á otro.. A los re dactores del Diario de l¿&amp; oposición, Rertuch y Froniep se les ha mandado salir de, la. corte.. Los periódicos la Nemesia y el Amigo de…</t>
  </si>
  <si>
    <t>Luengo, Martin</t>
  </si>
  <si>
    <t>Martin Luengo</t>
  </si>
  <si>
    <t>…ín, des de cuya época no se ha tenido noticia de él, y por consiguiente se ignora si es muer to ó vivo; y correspondiéndole cierta herencia por fallecimiento del teniente coro nel D. Martin Luengo, secretario que fue del vireinato de Navarra, tío de dicho D. Francisco, que murió el año de 1813,desean saber los testamentarios la existen cia del citado D. Francisco, para proceder á lo que corresponda en caso de haber fallecido intestado ó de otra'forma,…</t>
  </si>
  <si>
    <t>Luis</t>
  </si>
  <si>
    <t>…rda: capitán graduado de te niente coronel D. Cristóbal Villaseñor; teniente graduado de capitán D. Jo-, sef García Marín , teniente D. Manuel Ortiz , y graduados D. Pedro Ana ya, D. Luis de la Carrera y D. Ignacio Romero Pando; alféreces D. Apolinario Rodea y D. Miguel Rodríguez. De S. Luis: capitán graduado de teniente co ronel D. Anastasio Bustamante; capitán D. Andrés Huete; teniente D. Josef Gaitan; alféreces D. Juan Lesaca y D. Feliciano…</t>
  </si>
  <si>
    <t>…infantería. También fue herido al mismo tiempo el coronel D Pedro González Villa; el ayudante del segundo batallón de Navarra, graduado de capitán, D. Josef Narvaez ; el te niente D. Luis La Madrid; lo$ subtenientes D. Sancho Pardo y D. Domingo Agustín; y del de Castilla contusos el capitán de granaderos D. Juan de Lo bo, el teniente D. Ventura Salgado, y los subtenientes D. Pedro Fernandez . y D. Angel Loño; del.de húsares también contuso de bala de ca…</t>
  </si>
  <si>
    <t>Luis.Vieira</t>
  </si>
  <si>
    <t>…el mencionado Silva por la exactitud con que cumplió mis órdenes , y por sus buenas disposiciones: lo son también los vecinos principales dél pueblo capitán D. Francisco Delgado, teniente Don Luis.Vieira, administradorde correos D. Corneüo Roaro, D. Camilo Cama» cho, D. AntonioRecalde, D. Manuel Herrero * D. Juan Larrondo y D. Vicente. Arana, por la prontitud con que facilitaron sus sirvientes, armas y caballos. y, Dios guarde á vmdL muchos años. Acambaro Ene…</t>
  </si>
  <si>
    <t>Luisa, María Isabel</t>
  </si>
  <si>
    <t>María Isabel Luisa</t>
  </si>
  <si>
    <t>…id /&lt;f de Enero. ARTICULO DE OFICIO. En la noche del viernes 9 del corriente, á las 12 de ella , dispuso la divina Providencia llevarse á mejor vida á S. A. la Serma. Sra. Infanta Doña María Isabel Luisa, hija de nuestros amados Reyes ; los que con el mayor dolor ha^</t>
  </si>
  <si>
    <t>Luivano, Manuel</t>
  </si>
  <si>
    <t>Manuel Luivano</t>
  </si>
  <si>
    <t>…e Armijo.” . Parte del capitán D. Manuel Elivar y Galeana. ,,E1 2 á las nueve de la noche salí de este punto con 25 caballos para el parage de la Ciénega, tanto por traer al padre D. Manuel Luivano, como por haber sabido que había una reunión de 200 hombres al mando de los rebel des Ayala y Ríos, y que el titulado capitán Ramirez.se hallaba en la Mojo nera con 30 de los que llaman patriotas de aquellos contornos. El 2 del cor riente, como llevo dicho, v…</t>
  </si>
  <si>
    <t>Lujan, Segundo</t>
  </si>
  <si>
    <t>Segundo Lujan</t>
  </si>
  <si>
    <t>…ien público y del fomento de la escuela.;__Todos los concurren tes dieron las. mas expresivas gracias á los beneméritos y dignos maestro Don Manuel María Ruiz de Velasco y pasante D. Segundo Lujan, y el alcaldé mayor, presidente del acto, dio fin al acto exhortándoles á qué continuasen en su laboriosidad y útiles tareas; y para darles una prueba nada equívoca dé la alta consideración que le hábia merecido el precioso fruto de su enseñanza, premio con u…</t>
  </si>
  <si>
    <t>Luna, Ensebio</t>
  </si>
  <si>
    <t>Ensebio Luna</t>
  </si>
  <si>
    <t>…■ México 25 de Febrero, Lista de los individuos que se presentaron d indulto en el punto de Nautla en los dias 16y 17 del mes de Enero último. De infantería. Los titulados capitán comandante Ensebio Luna, subte niente Víctor Muñoz, sargento Antonio Abad Jacinto. Soldados: Pedro Ferral, Josef de la Cruz, Pedro García, Francisco Ferral, Pablo Antonio Ferral, Josef Cándido Albino, Tomas Paulino ,, Manuel Antonio Alejandro, Josef Ma ría Luna, Francisco de los San…</t>
  </si>
  <si>
    <t>Luna, Manuel de</t>
  </si>
  <si>
    <t>Manuel de Luna</t>
  </si>
  <si>
    <t>…ntal de Castilla D. Josef Tomas García, que siempre acompañó á las tro-* ' pas de su^cuerpo que cargaron al enemigo: ai teniente coronel comandante del tercer batallón de Numancia D. Manuel de Luna, que hacia de ayudante, y con una partida de guerrilla del batallón de Castilla cargó intrépidamente ai enemigo con ventaja de nuestras armas: al bizarro teniente coronel y coman-: dante del batallón de milicias Pardos de Valencia D. Josef Pereira, que af fre…</t>
  </si>
  <si>
    <t>Luna, Pablo</t>
  </si>
  <si>
    <t>Pablo Luna</t>
  </si>
  <si>
    <t>…Solprsano, á. D. Francisco Ochoa, á D. An tonio Ochoa y D. Francisco Manrique, que con retacos propios hacían fue go al igual de la infantería donde se les ordenaba; y asimismo á D. Pablo Luna con sus dos hijos. - - . • ,, Se lo comunico á vmd. para su satisfacción. ,, Dios guarde á Vmd. mochos años. Tecalitlam Marzo 9 de 1818. 5= Juan Antonio Solórzano. =Sr. teniente coronel y comandante D. Domingo Cla varme.” Parte extractado del comandante IX Ig…</t>
  </si>
  <si>
    <t>Lureña, Matías</t>
  </si>
  <si>
    <t>Matías Lureña</t>
  </si>
  <si>
    <t>…de todo el pueblo, es el estímulo mas seguro para excitarles á la- aplicación; Los premiados fueron los siguientes: En la Real escuela de dibujo y nobles artes r premio superior á D. Matías Lureña. En dibujo de cabezas: premio i.° á D. Inocente Martin Rubio,. 2.0 á D. Lorenzo de Francisco En extremos á D. Manuel de Peralta Malo. En perfiles mayores: i.° á D. Patricio Fresno, 2.0 á D. Andrés Bullido; En per files menores á D. Antonio de Castro. Em aritm…</t>
  </si>
  <si>
    <t>Luvian, Alejandro</t>
  </si>
  <si>
    <t>Alejandro Luvian</t>
  </si>
  <si>
    <t>…por lo que,siendo det&gt;agradode V. S. espero lo recomiende á la .justa consideración del Excmo. Sr. virey, lo mismo que ¿d expresado capitón D. Antonio ¡Cortés, y ai de. sii clase Don Alejandro Luvian que en diferentes tiempos y por la confianza que me me-¿ receh han desempeñado Jas comisiones-mas arduas. :..o ,,Eb capí tan de realistas de Ja Mesa; de Coroneles D, FeHpeSolís sedistingqió perfectamente ep to*jas^í$ pperacipne^ GpmPíy^ Joslsubr. alternos de…</t>
  </si>
  <si>
    <t>Luvian, Josef María</t>
  </si>
  <si>
    <t>Josef María Luvian</t>
  </si>
  <si>
    <t>…l dé Liñan.” LLAMOS de a pan. 2* ¿Del comandante general coronel D, Manuel de la Concha. „ ,, Excmo. Sr. : Acompaño á V. E. original el parte que el teniente coro nel de realistas D. Josef María Luvian me ha remitido con fecha de 31 del último Enero, desde la hacienda del Chapopote; refiriendo los efectos que ha tenido la expedición que egecutó con los indultados en Sombrerete el dia 27, de la cual ofrecí á V. E. en mi parte número 29 su resultado. f..¡ ..…</t>
  </si>
  <si>
    <t>…e tenían por aquel rumbo, cuyas maniobras practicaron estas tro pas muy á mi satisfacción hasta las dos de la tarde del mismo 28, hora en que recibí el adjunto oficio del teniente coronel D. Josef María Luvian, coman-* dante de las tropas acantonadas en el punto de Sombrerete, por el cual sus pendí mis operaciones. „Luviaa me manifiesta en su citado oficio que á las doce del dia 27 se le&gt;</t>
  </si>
  <si>
    <t>…que de la compañía de la India nombrado el' Cabalva, que salió ae Bornbay el 3 de Junio. ESPAÑA. México 29 de Abril. Continuación de los partes de Nueva-España. Parte del teniente coronel D. Josef María Luvian. ,,El 14 del corriente di á V. S. parte de mis operaciones hasta aquel día.</t>
  </si>
  <si>
    <t>…pitanes Malpica y Casado, que se separa ron en el Cuy uxquihuy de la gavilla de Simón Díaz y Serafin Olarte, cuya lista nominal dirigiré áV\ E. luego que la reciba. ,, El teniente coronel D. Josef María Luvian se internó con su sección en el citado Cuy uxquihuy desde el dia 7, y porque hasta el presente no he te nido noticias de su éxito, previne ayer al comandante de la Sierra baja Don Antonio Castro que se acerque con una partida del destacamento avanzado de Palo…</t>
  </si>
  <si>
    <t>Luzuriaga, Gregorio Ramón de</t>
  </si>
  <si>
    <t>Gregorio Ramón de Luzuriaga</t>
  </si>
  <si>
    <t>…a , y 24 fanegas de trigo al año. Los opo sitores que deseen enterarse de sus obligaciones, circunstancias de los egercicio? y demas podrán dirigirse en la expresada villa al Lie. D. Gregorio Ramón de Luzuriaga , á quien también presentarán sus solicitudes para el dia i.° del próximo Abril, en que han de principiarse los egercicios. EN LA IMPRENTA REAL. ”"</t>
  </si>
  <si>
    <t>M, Gerónimo de Mendinueta y</t>
  </si>
  <si>
    <t>Gerónimo de Mendinueta y M</t>
  </si>
  <si>
    <t>…de Hacienda, y juez asesor general de su Real casa y patri monio, se cita y emplaza á todas las personas que se conceptúen con derecho á ló¿ bienes quedados por muerte del Excmo. Sr. D. Gerónimo de Mendinueta y M112?quiz, conde que fue de la Cimera, y gentilhombre de Cámara de S. M., para que dentro del término de 30 dias, contados desde el de este anuncio, acudan ante di cho señor y escribanía de la Real sumillería de Corps, á cargo de D. Carlos Rodrí guez de Moya, p…</t>
  </si>
  <si>
    <t>M, Joaquín</t>
  </si>
  <si>
    <t>Joaquín M</t>
  </si>
  <si>
    <t>…eñar gratuitamente á los pobres de solemnidad; y debiéndose dar por oposición, se hace saber para que los aspirantes á ella dirijan sus memoriales al ayuntamiento, por medio de su secretario D. Joaquín M oreno Aunóles, hasta el dia i.° de Octubre próximo; teniendo entendido que el acto se reducirá á tratar sobre la doctrina cristiana, principios de sana moral, urba nidad &amp;c.: orüológia , caligrafía, ortografía, gramática castellana en toda su extensión, y ari…</t>
  </si>
  <si>
    <t>M, Josef Joaquin de</t>
  </si>
  <si>
    <t>Josef Joaquin de M</t>
  </si>
  <si>
    <t>…en 4.° Se hallará en la librería de Ranz, calle de la Cruz , | 16 rs. en rústica y 20Ten pasta. Niño 11: tragedia «escrita en francés por Mr. Brifaut, traducida al castellano por D. Josef Joaquin de M»lora. Se hallará en las librerías de Orea frente á S. Lu is, Pé rez, calle de las Carretas, Amposta, calle del Príncipe, y en el puesto de Cuesta, gradas de S. Felipe el'J3Ua(,y en Cádiz en la de Orial y compañía. I 2NT LA IMPRENTA REAL.</t>
  </si>
  <si>
    <t>M., A.</t>
  </si>
  <si>
    <t>A. M.</t>
  </si>
  <si>
    <t>…y 13 en pasta; y en Cádiz en la de Ortal y compañía. Viage de un filósofo á Selenópolís, corte desconocida de los habitantes de la tier ra: escrito por el mismo , y publicado por D. A. M. y E.: un tomo en 8 ° — Memo rias de Blanca Capello, gran duquesa de Toscana, para la historia de la virtud en la humilde y alta fortuna: por D. Antonio Marques y Espejo. Se hallarán en la librería de Hurtado, calle de las Carretas, á 8 rs. en pasta y 6 en rustica.…</t>
  </si>
  <si>
    <t>Ma</t>
  </si>
  <si>
    <t>…libres tanto á la entrada como á la salida, y ios que igualmente son prohibidos, con otras instrucciones úti les: impreso con Real aprobación. Véndese en Madrid en la droguería de D. Ma nuel Trasviña, calle de Postas; en Cádiz en la librería de Lozano y Ayuso; en Se villa en la de Berard; en Valencia en la de Cabrerizo; en Barcelona en la de Roca; en Vitoria en Ja de Barrio; en Alicante en la de Carratalá é hijos, y en Bilbao en la de Barrid…</t>
  </si>
  <si>
    <t>…uel Velazquez , los tenientes D. Juan Sorelo, Don Juan Gómez, D. Josef Segador, D. Josef Elua y D. Manuel Martin Alvarez, y los subtenientes D. Tiburcio de Cañas, D. Antonio Tuya, D. Ma nuel Sánchez Trívino y D, Martin de Santiestéban, heridos. Dragones de S. Luis: el capitán D. Anastasio Bustamante herido. Dragones de S. Carlos: el capitán D. Manuel Linares herido de gravedad. Segunda sección: bata llón ligero voluntarios de Navarra: el ten…</t>
  </si>
  <si>
    <t>…se ha servido nombrar á D. Hemeterio López y Blanco para la vara de alcalde mayor segundo de la ciudad de Barcelona. Habiendo fallecido ei* Ménico el escuítor honorario de Cámara D. Ma nuel Tolsat director de escultura de la Real academia dé S. Carlos de aque lla capital , acudió su viuda al virey de Nueva-España , como vicé-protector de la misma academia, solicitando se la concediese algún auxilio sobre los fondos de aquel establecimiento;…</t>
  </si>
  <si>
    <t>…. S. muy particularmente á mis ayudantes capitán graduado D. Manuel Fernandez Peredo y teniente D. Francisco Santelices, del regimiento de dragones de Moneada , y capitán graduado D. Ma nuel Rodríguez, de fíeles del Potosí, quienes comunicaron mis órdenescon la mayor puntualidad; y también recomiendo á V. S. al bachiller D, Anto nio Cea, que cumplió exactamente con su ministerio, auxiliando tanto á nuestras tropas como á los enemigos que ped…</t>
  </si>
  <si>
    <t>…endada del escribano del nu mero D. Tomas María Manrique, se cita, llama y emplaza por término de 8 días, que por tercero y último se les concede, contados desde su publicación, á D. Ma nuel Sánchez del Prado, D. Lorenzo Fernandez de León ,- D. Juan Lorenzo Sánchez Cueto, D. Luis Franco, Doña Librada Perez Escovar, D. Joaquín Antonio Ro mán, los Sres. Alzueta y Beratarrechea, D. Rafael Rodríguez, D. Juan de Dios Elias, los Sres. Bohe, herman…</t>
  </si>
  <si>
    <t>…o Agüero : para la de Ayamonre^á D. Joatquia Avendañotpara la de Siruela á D. Ramón Carvajal y Trejo:- para la de Casas de Bes á D. Francisco Sánchez Ferrer : para la de Bodonal á D. Ma nuel Arce y Revuelta: para la de Montoro á D. Justo Rodríguez Hurtado4; para la de. Constantina a D. Josef López Requena : para la de Alconchel á IX Juan Castillejo Navalon : para ia de Javaiquinro á IX Juan Ramón de Ibarra : para él corregimiento de Sétenil…</t>
  </si>
  <si>
    <t>…á!;-un gefe, 13 oficiales y- 253 soldados muertos^ 4 oficiales y 6l soldados heridos ¿ y 94 soldados prisioneros. Los oficiales muertos del regimiento de Návarra son los capitanes D. Ma nuel Mendoza, D. Pascual Amatelos tenientes con grado de capitán D. Aór drés Rico, D.Torñas Perez Trujillo, los tenientes D. Josef del Cerro , Doq Guillermo Pinilla, D, Domingo Verastigui, los subtenientes D. Josef Cea, D.* Nicolás Calderón y D. Vicente Garcí…</t>
  </si>
  <si>
    <t>…dos en su tercero y último matrimonio con Doña María de Cevallos; de la cual, en vista de la aprobación que ¿de ella &gt;se pidió por D. Francisco Josef Fernandez Heras, marido de la Doña Ma nuela.de Herrera Cajiga, vecinos del lugar de Caucedo en el valle de Camargo, se comunicó traslado á los interesados por auto de 25 de Noviembre de dicho año, que se hizo notorio á la Sra. Doña Ana María de Herrera Carreto yPalazuelos, viu da del Sr. D. Josef…</t>
  </si>
  <si>
    <t>…celemines, tasada en 750; y un olivar que tiene 11 olivas y 18 piernas al parage del Corralejo, tasado en 500. Teniendo que percibir parte de una herencia los herederos é hijas de Doña Ma ría Agustina Lesaca, muger que fue de D. Juan Clari, residentes que fueron de la ciudad de Valencia del Cid, se les cita y emplaza para que en el término de cuatro meses, contados .desde 5. del corriente, acudan al cabildo eclesiástico de las parro quias unid…</t>
  </si>
  <si>
    <t>…s designados, creía acreedores á los de mas á cierta demostración que pudiera servirles de estímulo; y con efecto se juzgó que D. Nicasio López, D. Josef Yarza, D. Anacleto Toron, D. Ma riano Pinos, D. Miguel Garcés y D. Pedro García se hallaban en este caso, aunque la de los tres primeros debería ser mayor que la que se hiciese á los segundos, y en seguida el catedrático manifestó que la misma graduación ha bían hecho por escrutinio entre s…</t>
  </si>
  <si>
    <t>Má</t>
  </si>
  <si>
    <t>…n. comandante general del cordóni . ; " cadete Notar Lá línea del cordón se halla dividida en dos mitades, y estas en tres distritos-, mandados lós de la derecha el primero por el brigadier D. Má** nuel Daban: el segundo por él teniente coronel D. Joséf Mafia Céndrera, co mandante del batallón del regimiento infantería de Valeneiá; y él tercéró por D. Valentín Quitos, que Jó es del escuadrón de caballería Volúiítariqs de España: los de la izquierda, e…</t>
  </si>
  <si>
    <t>…censo de D. Antonio Cortés y dar te, al medio racionero D. Juan Bautista Eguren; esta resulta á D. Ramón Pa zos, y otra inedia ración, vacante en la propia iglesia por renuncia de D. Ma tías Josef de Feria, á D. Bérnardiño Pini y Ledos: la ración que ha quedado vacante en la catedral de Guadalajara por muerte del conde de Sta. Rosa á Don Miguel Ramírez, medio racionero, y esta media ración á D. Manuel de Arteaga y Bazan: para otra ración de…</t>
  </si>
  <si>
    <t>alumnos bachilleres D. Félix de Federico, D. Casimiro Herrezuelo, D. Ma riano Gil Portillo, D. Mariano Josef González Crespo, D. Manuel Izcaray, D. Gonzalo López de la Torré, D. Josef María Rasco, D. Genaro González* D. Juan María Quevedo, D. Pedro Suarez, D. Antonio Tenllado Henriquez y el doctor en cirugía D. Josef Ramos. Exami…</t>
  </si>
  <si>
    <t>…Campos, después de dar este pequeño gol pe l intentaría“otro’áobfiré Gút^amálá con los cabecillas P. Matías Zavalá; Jo sef María Ayata y Vícente Calderón, que, según- informes del capitán D. Ma nuel Gáleana ; -éstábañ combinados párá atacarle. - * &lt; ) r j ,,Con marcha rápida me aproximé al expresado Cutzamala á las cuatro de la mañana del 10, éinformado de que no había por allí cerca rebeldes, seguí á las seis dé la “ tarde mi viage por Zirapitiro,…</t>
  </si>
  <si>
    <t>…se previene, sin ir, ni permitir se vaya contra su tenor y forma en manera alguna: que asi es mí voluntad se egecute*. Dada en Palacio á io de Noviembre de 1818. =YO EL REY. = Yo D. Ma nuel del Burgo, Secretario del Rey nuestro Señor; lo hice escribir por su mandado. En atención á los distinguidos méritos contraídos en América por el reve rendo obispo de Córdoba del Tucuman , electo de Avila, D. Rodrigo de Ore llana, y á que ha acreditado d…</t>
  </si>
  <si>
    <t>…llas puede resultar, previos los auxilids cristianos, serán castigados con la última pena con arreglo á sus delitos^ ’ ,,La müger que el perverso González robó cuando dió muerte á D. Ma riano Jáuregui con otras ocho de los demas rebeldes están en mi poder, á las qué lie mandado instruir sumaria, y particularmente á la primera, que des pués de’haberlá violentado; el cabecilla con iniquidad la llevaba siempre con sigo, y esta puede dar noticia…</t>
  </si>
  <si>
    <t>Ma, Joaquín</t>
  </si>
  <si>
    <t>Joaquín Ma</t>
  </si>
  <si>
    <t>…ligía antes en ocasiones, se* melantes.. : . *,l&gt; Á vista de estos beneficios no han podido menos los habitantes de esta dudad de admirar los conocimientos y el zeio del ingeniero D. Joaquín Ma ría Pery, que con tanta economía y acierto ha sabido construir éstas obraS de Una utilidad-tan grande^y- tán general. 1^7 G .■ oí '}¿' i MhdriÚ ig dé Mayo, 'j ^:■£ Hoy en celebridad del áriSvérsario de la eottada de $. M.eneWacorté</t>
  </si>
  <si>
    <t>Ma, Joscf</t>
  </si>
  <si>
    <t>Joscf Ma</t>
  </si>
  <si>
    <t>…en esta forma. Matemáticas: á Dr Carlos Es pinóla , y á D. Juan Poey el accessit. Lengua francesa ¡ á D. Giabricl Orbegozo , y á D. Luis Poey el accessit. Crramdtica castellana: á D. Joscf Ma ría Agu'irre, yá D. Manuel Jane el accessit.Dibitjo: á D. Juan Poey, y i D. Carlos Espinóla el áctessil. Escritura .* á í). Josef Manuel César ,y á Don Guillermo Larraganel accessit. Lectura : á D. Victoriano Pastor ., y á Don Pascuai Meñdive el accessit.-.Do…</t>
  </si>
  <si>
    <t>Ma, Joséf</t>
  </si>
  <si>
    <t>Joséf Ma</t>
  </si>
  <si>
    <t>…no de S.: Agustín del Palmar, donde pereció la ma yor parte dei batallón de infantería de Asturias, qoe escoltaba un convoy de tabacos desde ©rizaba á Puebla al mando de! teniente coronel D. Joséf Ma nuel Martínez, sé ha servido resolver S. M. !entre otras cósás r Qué la opi nión teniente general conde de Castrotef reño, á cuyo cargo estaba el egér cito qué ocupaba aquel país, no debe padecer nota alguna por el suceso de S..Agustín del Palmar, mediante no…</t>
  </si>
  <si>
    <t>Ma, Josef</t>
  </si>
  <si>
    <t>Josef Ma</t>
  </si>
  <si>
    <t>…ntes del mismo cuerpo D. Julián Fuentes Reinoso y D. Trinidad Llinás, que fueron todos también heridos, algunos muy gravemente. „ El capitán de Milicias indio graduado de teniente coronel D. Josef Ma ría Chauran, agregado al batallón de Clarines, que se hallaba con la guer rilla de este cuerpo, se portó con la mayor bizarría; y aunque fue herido de gravedad al principio de la acción , continuó en ella todo el dia. ,9 Otro capitán indio de dicho batallón d…</t>
  </si>
  <si>
    <t>…esencialísimamente á la presentación á indulto del cabecilla Vicente Vázquez con los insurgentes del territorio de Palo Blan co, verificada el 27 del presente mes ante el teniente coronel D. Josef Ma ría Luvian, comandante de las tropas que cubren el punto de Sombrerete, cuyo feliz acontecimiento ha acabado de asegurar la tranquilidad del territo rio de la sección de Huexutla y la poca parte que faltaba de mi extenso dis trito militar. . J3! También se me…</t>
  </si>
  <si>
    <t>Ma, Marcelino</t>
  </si>
  <si>
    <t>Marcelino Ma</t>
  </si>
  <si>
    <t>…ch al mayor Reich para comprar al inventor el secreto en la cantidad de 2® llorínes. ESPAÑA. Tíldela dé Navarra 26" de Enero. El catedrático de latinidad y retórica de esta ciudad D. Marcelino Ma gro, individuo de la Real academia latina matritense, celebró certámenes pú blicos de sus alumnos el dia 21 de Diciembre ultimo coa anuencia de los in dividuos de la junta de educación pública.</t>
  </si>
  <si>
    <t>Ma-, Ana</t>
  </si>
  <si>
    <t>Ana Ma-</t>
  </si>
  <si>
    <t>…de Herrera Carreto.y se prac ticó la correspondiente liquidación, cuenta y partición del caudal que dejó en 23 de Octubre del año pasado de 1763 entre sus cuatro hijos . á saber , Doña Ana Ma-</t>
  </si>
  <si>
    <t>Ma-, Josef</t>
  </si>
  <si>
    <t>Josef Ma-</t>
  </si>
  <si>
    <t>…ntería D. Mariano Bravo, de Zacapoaxtla, Don» Pedro González, de Altoronga-, y D. Josef Martínez, de Tesiutl'an , y el ca pitán nombrado de la compañía de caballería de Tlacopayan D. Josef Ma-</t>
  </si>
  <si>
    <t>Mac-Arthur</t>
  </si>
  <si>
    <t>…riódico ministerial de los Estados-Unidos,impreso en Washing ton , se dice haberse firmado un tratado el 29 de Octubre en las orillas del lago Erié , entre el gobernador Cass y el general Mac-Arthur, comisario nombrado por el presidente y los gefes de las naciones Wicindot, Delawá*re, Shwanes, Seneca , Ottoway, Chíppewa y Pototvatamy , las cuales han cedido á los Estados-Unidos todas las tierras que les pertenecían en el territo rio del estado de Ohio.-_…</t>
  </si>
  <si>
    <t>Maceda, Josef</t>
  </si>
  <si>
    <t>Josef Maceda</t>
  </si>
  <si>
    <t>…Sierramorena, su capital la Carolina, á D. Félix Andrés Benitez Martínez, alcalde mayor de Leganés: para esta vara á D. Joaquin Beneito y Beneitorpara la de Sta. Cruz de Múdela á D. Josef Maceda : para la dé Mansiila de las Muías á D. Tiburcio Eguiluz : para la de Belalcázar á D. Juan Maríá Domínguez: para la del Viso, en la Mancha , á D. Josef París y Romero : para! ia de Villafranca del Vierzo á D. Josef García Alfonso, alcalde mayor de Villablino:…</t>
  </si>
  <si>
    <t>Macias, Joaquín</t>
  </si>
  <si>
    <t>Joaquín Macias</t>
  </si>
  <si>
    <t>…ismii escribanía de provincia , á las 11 de su mañana. 1 Por providencia del Sr. D. Angel Fernandez de los Ríos, teniente corregidor dé está muy heroica villa, se cita y emplaza á D. Joaquín Macias, tenedor de un vales de 300 pesos de i.° de Setiembre de 1809. señalado con el número: 28137, á Don Juhñ Martin, tenedor de otro del mismo valor y creación, señalado con el número 25610, á D. Manuel Maatre y S. Román , que lo es de otro del propio valor y cre…</t>
  </si>
  <si>
    <t>Maciel</t>
  </si>
  <si>
    <t>…blas al cerro de Mansertua,. en donde los rebeldes han tenido hasta ahora todos los do mingos un escandaloso y lucrativo comercio. Desde las Tablas puse la guerri lla al mando del teniente Maciel con los dichos piquetes de Acordada y el de Arandas para que avanzase á sorprender á los rebeldes que estaban en aquel comercio; y sin embargo de que con acuerdo con Maciel debía haber hecho alto con la reserva en ja Rinconada ó Cruz de Aguilar, advirtiendo n…</t>
  </si>
  <si>
    <t>Maciel, Mariano</t>
  </si>
  <si>
    <t>Mariano Maciel</t>
  </si>
  <si>
    <t>…ntes montados de Toluca, 30 dragones de ISueva-Galicia, 30 de Frontera de Colorían, 16 fieles realis tas de Arandas, y los dos piquetes de la Acordada de S. Pedro, mandados por el teniente D. Mariano Maciel, tomando rumbo por las Tablas al cerro de Mansertua,. en donde los rebeldes han tenido hasta ahora todos los do mingos un escandaloso y lucrativo comercio. Desde las Tablas puse la guerri lla al mando del teniente Maciel con los dichos piquetes de Acordada y…</t>
  </si>
  <si>
    <t>Madarriaga, Joaquín Miranda y</t>
  </si>
  <si>
    <t>Joaquín Miranda y Madarriaga</t>
  </si>
  <si>
    <t>…batién dose, personalmente con los rebeldes. ,,Son dignos de la atención de V* E. el coronel comandante de húsares de Fernando vn E). Juan Juez , y el teniente coronel de Navarra D. Joaquín Miranda y Madarriaga, cuyos gefes, á las cabezas de sus respectivos cuer pos, se distinguieron por la bizarría con que atacaron y recibieron las car gas de los enemigos en diversas ocasiones. ,,Todos los demas gefes, oficiales y soldados de este egército han acredi tado dignament…</t>
  </si>
  <si>
    <t>Madera, Josef</t>
  </si>
  <si>
    <t>Josef Madera</t>
  </si>
  <si>
    <t>…es acree dor al buen concepto que merece en el egército, habiéndose señalado en los diferentes empeños que tuvo su regimiento. „ Asimismo recomiendo á la consideración de V. E. al capitán D. Josef Madera, los tenientes D. Eustaquio Hidalgo y D. Josef Aspiazu, y á ios subtenientes D. Josef Checa y Fuentes, D. Antonio García Liñan y D. Fe lipe Carrasco, todos del regimienro de Burgos, que fueron heridos; á los subtenientes del batallón de la Reina Doña Isabel D…</t>
  </si>
  <si>
    <t>Madero, Santiago</t>
  </si>
  <si>
    <t>Santiago Madero</t>
  </si>
  <si>
    <t>…quel R. obispo eL Ilíno. ;Sr. E).: Andrés Esteban cuidórde;.recoger , y; juntamentecon la relación de la-disección anatómica que hizo de pila el Cirujano titular de aquella ovilla D. Santiago Madero que Ja em balsamó» la^remitió á esta corte al Excmo. Sr. D. Josef León y Pizarro, pri merSecretario dei Estado y del Despacho;, el cual ría mandó examinar ai vice profesor de? .apología del Real museo de esta corte D. Tomas Villanova. - 1</t>
  </si>
  <si>
    <t>Madueño, Josef Sánchez</t>
  </si>
  <si>
    <t>Josef Sánchez Madueño</t>
  </si>
  <si>
    <t>…niente del de infantería de Sevilla. Asimismo ha provisto S. M. las canongías vacantes; en la santa iglesia ca tedral de Granada, por fallecimiento de D. Alejandro Perez Romero, á Don Josef Sánchez Madueño , capellán párroco del tercer regimiento de Artillería: en la de Tortósa, por!fallecimiento de D. Juan Peña, á D. Francisco Soler, capellán del regimiento de caballería de España: en la de Segovja, por muefte dé D. Juan de Benito, á Di Juan Antonio Jordán, ca…</t>
  </si>
  <si>
    <t>Mafeo, Luis María</t>
  </si>
  <si>
    <t>Luis María Mafeo</t>
  </si>
  <si>
    <t>…l dia 6 de Diciembre próximo en la posada de S. S., y hora de las nueve de su mañana, para la junta general de acree dores é interesados á los bienes quedados por fallecimiento de D. Luis María Mafeo, vecino y del comercio que fue de libros de esta corte. Ignorándose la existencia de D. Bernabé Soto, vecino y natural del lugar de Arion, provincia de Soria, y obispado de Osma, que salió de esta.corte con el gra do de teniente capitán por los años de 803 ú…</t>
  </si>
  <si>
    <t>Máfía, Miguel</t>
  </si>
  <si>
    <t>Miguel Máfía</t>
  </si>
  <si>
    <t>…; Cuyordesempeño ha fallecido, lo gratóá que le han sido sus dilatados y distinguidos servicios, se ha servidoj por sú Real decreto de 16 de Juniqúltimó, conceder á su hijo el Dr. D. Miguel Máfía^de^gmrre ef propio destino^de ministro contador de las mismas Rea les cajas de Cochabamba?^^ *' 1 * ■*■■■•* m. v</t>
  </si>
  <si>
    <t>Maitland</t>
  </si>
  <si>
    <t>…Londres a$ de Diciembre. Se asegura que será atendida la solicitud de los habitantes de las islas Jó nicas, y que el fuerte ruso de Parga quedará libre de la dominación turca. El general Maitland se halla en el dia en Corfú, donde dirige personalmente y pone en egecucion diversos reglamentos para la prosperidad, de aquella isla importante. El número de nacidos en esta capital el ano que concluyó en 16 de este mes ha sido de 24129,de los cuales 12624 f…</t>
  </si>
  <si>
    <t>Maitlañd</t>
  </si>
  <si>
    <t>…Venecia. Para ello se funda la Puerta en que aquel bajá con sus extorsiones es la causa de la emi gración ; peto se ñieg|a á ello el baja, y tiene aplazada una conferencia con el general Maitlañd en la cicada plaza de Parga ó en la de Proveya, para tratar y ver si es posible concertarse sobre las dificultades que ofrece la eva cuación de Parga. . , En la noche del 20 al 21 del corriente se incendio este palacio de la le gación de Suecia por descuido d…</t>
  </si>
  <si>
    <t>…habia «ido hasta ahora de&lt; -11 es cudos. Asimismo se permitirá á todos hacer pan. ¡ r ' * - ^ c ió &gt; ’ El caballero Torwalson está tratándole que se traba je un busto colosal del general Maitland, gobernador general de las islas Jónicas,; que los vecino® de Corfú quieren hacer de bronce para colocarle en una plaza pública. El céle-* bre Ganova está haciendo para los Estados-Unidos americanos una estatua del general Washington. : : x j Acaba de publica…</t>
  </si>
  <si>
    <t>…e imprimir en París Una historia de los tres uitimós reinados dé Ñapóles, fun dada en las memorias inéditas de varios sugetos que han tenido parte en la administración pública. El general Maitland llego aqui de Corfú anteayer en la fragata Elasco&lt;w\; pero no quiso desembarcar por evitar la cuarentena, y continuo su viage á Genova. PAISES B A JOS-U NIDOS. • . • • — e Brusélas 26 de Julio. El tribunal de apelaciones ha celebrado hoy sesión extraordinaria…</t>
  </si>
  <si>
    <t>…aquí del Brasil y de Lisboa con parte de la comitiva que acompañó á aquella corte á S. A. R. la Princesa de Austria. Ha salido de aqui para su destino en la fragata el Glasgow el general Maitland, nombrado gobernador de Malta y de las islas Jónicas. Ayer supimos que ha habido en Palermo un gran terremoto. La noticia se ha recibido de Mesina , en donde se supo por el telégrafo. • • ALEMANIA. J Francfort gó de Setiembre Lo único que retarda en el dia el…</t>
  </si>
  <si>
    <t>Malachowsky, Gustavo</t>
  </si>
  <si>
    <t>Gustavo Malachowsky</t>
  </si>
  <si>
    <t>…de Policía, y primer.gentil^ hombre.de S. M. Prusiana; Mr. Scheel ,, consejero de; Guerra; Mr. Dunckec;? secretario íntimo ;de. este Monarca; el príncipe Basilio de Galitzin ; el conde Gustavo Malachowsky,y ;Mr. ObrescofF, gentileshombres de cámara del Em perador de Rusia,; el condeáBennigsen,, general en gefe al tser vicio del Empe rador de Rusia; el condé de Stakelberg, consejero privado del mismo Empe-* rador, y , la condesa de Mcwitholon. ; i'.&lt; ¡ Idem 2.…</t>
  </si>
  <si>
    <t>Malbouroug</t>
  </si>
  <si>
    <t>…\ París 24 de Agosto. Escriben de Irlanda que acaba de morir allí en un pueblo llamado Bougtonsous-BIeau un anciano de edad de 124. años, el cual sirvió á las órdenes del célebre general Malbouroug, y se acordaba todavía de la Reina Ana. Acaba de inventarse en Roma una máquina para, extraer del Tiber los ob jetos preciosos que se creen sepultados en las aguas. Muchos se persuaden de que, se hallará el candelabro de, oro del templo de Jerusalen; pero cua…</t>
  </si>
  <si>
    <t>Maldonado, Dímas</t>
  </si>
  <si>
    <t>Dímas Maldonado</t>
  </si>
  <si>
    <t>…o á D. Josef María Quüez: las cánongías de idioma mexica no en la propia iglesia, á D. Estanislao Segura y á D. Francisco Valladares; y las raciones, también de idioma mexicano, á D. Dímas Maldonado y á D. Josef Alarcon: la canongía lectoral de la santa iglesia catedral de Monterey, nuevo reino de León , á D. Josef Francisco Arroyo, y á-D. Pedro Hom bre ja canongía de esta iglesia vacante por ascenso de D. f Josef Vivero á la dignidad de chantre de la mi…</t>
  </si>
  <si>
    <t>Malliani, Víctorina González</t>
  </si>
  <si>
    <t>Víctorina González Malliani</t>
  </si>
  <si>
    <t>…ibras de hilo finó, hilado y blanqueado por su manof y ¿o pares de calcetas de hilo, tambieii hilado, torcido y blanqueado por ella, un palillo de marfil preciosamente embutido: á Doña Víctorina González Malliani, de edad de 12 años, un huso dé marfil con embutidos dé gusto , por haber presentado unas madejitas de hilo finísimo hilado por su maño: áTomas Torre, discípu lo de D. Josef Picado, maestro del torno al aire en la Real casa de hospicio, y. socio de mérito.en…</t>
  </si>
  <si>
    <t>Malo, Bernardo Díaz</t>
  </si>
  <si>
    <t>Bernardo Díaz Malo</t>
  </si>
  <si>
    <t>…2.0 á Josef Sánchez. En gramática castellana á Vicente Díaz. En Ortografía á Félix Arias. En aritmética á Eleúterio Manrique. En doctrina cristiana á Pedro de la Vega. Escuela de D. Bernardo Díaz Malo. Primera clase de escribir: premio i.° á Ignacio Gutiérrez, 2.0 á Francisco Hermia. Segunda clase de escribir: i.° á Adolfo Samper , 2.0 á Juan Josef Solana. En leer: i.° á Pascual Martínez, 2.0 á Fernando Alemán. En Fleuri á Eduardo Calderón. En verso á Segu…</t>
  </si>
  <si>
    <t>Malo, Francisco García</t>
  </si>
  <si>
    <t>Francisco García Malo</t>
  </si>
  <si>
    <t>…antas consultas se les hagan , franqueándoles las cartas, conforme á lo prevenido en el artículo 8.° del dicho capítulo 2.0, se avisa que el médico director de los baños de Graena D. Francisco García Malo reside actualmente en la ciudad de Guadix, el de los del Marmolejo D. Vicente Ortiz Criado en el mismo Mármbléjo , en Alhama el médico director de los de esta ciudad D. Diego Rodenas, y en la villa de Grábalos él médico de los de Fitero D. Angel Sanz y Muñoz-…</t>
  </si>
  <si>
    <t>Malo, Manuel de Peralta</t>
  </si>
  <si>
    <t>Manuel de Peralta Malo</t>
  </si>
  <si>
    <t>…al escuela de dibujo y nobles artes r premio superior á D. Matías Lureña. En dibujo de cabezas: premio i.° á D. Inocente Martin Rubio,. 2.0 á D. Lorenzo de Francisco En extremos á D. Manuel de Peralta Malo. En perfiles mayores: i.° á D. Patricio Fresno, 2.0 á D. Andrés Bullido; En per files menores á D. Antonio de Castro. Em aritmética. á. D;. Blas Crespo..</t>
  </si>
  <si>
    <t>Man, Tomas María</t>
  </si>
  <si>
    <t>Tomas María Man</t>
  </si>
  <si>
    <t>…les parará el perjuicio que haya lugar. Por la audiencia del señor D. Manuel Josef de Rubio, del consejo de S M., y teniente corregidor de esta.muy heroica villa, y escribanía de D. Tomas María Man rique, se vende una tierra de siete fanegas y tres celemines, donde dicen Valdeusillos, término y jurisdicción de la villa del Casar de Talamanca, retasada últimamen.te en,6525 rs. vn.: vel que quisiere hacer postura acuda á verificarlo ante dicho señor y cit…</t>
  </si>
  <si>
    <t>Mañer, Félix</t>
  </si>
  <si>
    <t>Félix Mañer</t>
  </si>
  <si>
    <t>…la za á todas ias personas, corporaciones ó establecimientos que se consideren con de recho á los bienes que han quedado por fallecimiento abintestato, y en estado de demencia, de D. Félix Mañer, vecino que fue de esta corte, de egercici® abanique ro, hijo de Ja Real casa Desamparados, que estuvo casado con Doña Manuela del Bay, y vivió calle del Cármen, núm. 2 , para que dentro del preciso término de 30 dias, que por segundo se conceden, acudan ante…</t>
  </si>
  <si>
    <t>Maner, Félix</t>
  </si>
  <si>
    <t>Félix Maner</t>
  </si>
  <si>
    <t>…sé dita , llama y emplazó sl todas las personas y corporaciones que se considéren con derecho á los bienes que han quedado por fallecimiento abintestato y en estado de demencia de D. Félix Maner, vecino que fue de esta cortede: egefcício abaniquero, hijo dé la Real casa de Desamparados, que estuvo casado cón'Doña.Mantiéla del Bay, y vivió calle del Cármen , núm. 2 i para que dentro del preciso, término de* 3» dias, que por tercero y.último se concede…</t>
  </si>
  <si>
    <t>Manpe</t>
  </si>
  <si>
    <t>…rcitos, á quien rinden verdadero home»age. Dígalo el parte, original que acompaño á V. S., que con fecha 11 del corriente puso en mis manos el Capitán graduado de dragones del Sur D. Manpe} Galeana , relativo á la glojósa acción que el mismo dia. sostuvo contra el rebelde cabecilla Pablo‘Campos, ique intentó 'atacarle ep; su cuartel;en’ei des tacamento: de Cutzamala, y dígalo también; la partida .de 15 dragones que sa lió J.,batir al enemigo, q…</t>
  </si>
  <si>
    <t>Manresa, Francisco de Paula</t>
  </si>
  <si>
    <t>Francisco de Paula Manresa</t>
  </si>
  <si>
    <t>…n éntierro solemne ,-que se verificó en la tarde del 25 , con asistencia de todo él clero y las personas de la mayor distinción. Luego que el doctor Camino manifestó al presbítero D. Francisco de Paula Manresa, administrador del santo hospital de la Resurrección de esta villa, el estado de pobreza y falta de salud en que se hallaba Carlos, mandó á su médico D; Manuel Pallarét para,que le asistiese, le envió una cama, y asistió á Carlos y á su muger en cuanto necesi…</t>
  </si>
  <si>
    <t>Manrique, Francisco</t>
  </si>
  <si>
    <t>Francisco Manrique</t>
  </si>
  <si>
    <t>…ron con la mayór exactitud. „ Asimismo recomiendo al teniente político de este pueblo D. Vicente Cenon Carrillo, á D. Ramón Solprsano, á. D. Francisco Ochoa, á D. An tonio Ochoa y D. Francisco Manrique, que con retacos propios hacían fue go al igual de la infantería donde se les ordenaba; y asimismo á D. Pablo Luna con sus dos hijos. - - . • ,, Se lo comunico á vmd. para su satisfacción. ,, Dios guarde á Vmd. mochos años. Tecalitlam Marzo 9 de 1818. 5= Juan…</t>
  </si>
  <si>
    <t>Manrique, Tomas María</t>
  </si>
  <si>
    <t>Tomas María Manrique</t>
  </si>
  <si>
    <t>…iendo arregladas. En virtud de providencia del Sr. D. Joaquin de Almazan , del Consejo de S. M., teniente corregidor de esta muy heroica villa, refrendada del escribano del número D. Tomas María Manrique, se cita, llanta y emplaza por término de 15 dias, que por segundo se les concede desde el de su anuncio en la gaceta y diario de esta corte, á D. Manuel Saenz del Prado, D. Lorenzo Fernande^de León, D. Juan Lorenzo Sánchez Cueto, D. Luis Franco, Doña Librada…</t>
  </si>
  <si>
    <t>…n su audiencia. Por providencia del Sr. D. Joaquín de Almazan, del Consejo de S. M., teniente primero de corregidor de esta muy heroica villa, refrendada del escribano del nu mero D. Tomas María Manrique, se cita, llama y emplaza por término de 8 días, que por tercero y último se les concede, contados desde su publicación, á D. Ma nuel Sánchez del Prado, D. Lorenzo Fernandez de León ,- D. Juan Lorenzo Sánchez Cueto, D. Luis Franco, Doña Librada Perez Escovar,…</t>
  </si>
  <si>
    <t>…a Valdearenas. Por providencia del Sr. D. Joaquín de Almazan, del Consejo de S. M., tenien te primero de corregidor de esta muy heroica villa» refrendada, del Escribano del número D. Tomas María Manrique» se cita, llama y emplaza á todos los parientes y demas personas que se crean con derecho á los bienes quedados por la muerte in testada de D. Manuel del Olmo, vecino que fue de esta villa , y natural de la de Orche, para que al término de 30 dias» contados d…</t>
  </si>
  <si>
    <t>se jo de S. M., teniente fr imito de corregidor dé está muy Heroica villa, refrenda da del escribano del número D. Tomas María Manrique, se cita, llama y enaplaza por término de 30 días, contados desde el de esta publicación, á D. Juan Angel de Aramburu, á los Sres&lt; Rully y Coll, y á D. Ramón Vidal y Marti, últimos te nedores de tres vales Reales, uno de 150 pesos de Enero de 1808, núm. 23977…</t>
  </si>
  <si>
    <t>…ara satisfacción del interesado. Por la audiencia dél Sr. D. Manuel Josef de Rubio, del Consejo de S. M., te niente corregidor de esta muy herpica villa, y escribanía numeraria de D. Tomas María Manrique, se vende una tierra de siete fanegas y tres celemines donde dicen Valdeusiilos, término y jurisdicción de la villa del Casar de Talanianca, retasada últimamente en 6525 rs. vn.: el que quisiere hacer postura acuda á verificarlo ante dicho señor y citada escr…</t>
  </si>
  <si>
    <t>Manso, Bernarda</t>
  </si>
  <si>
    <t>Bernarda Manso</t>
  </si>
  <si>
    <t>…comparezcan en el juzgado de dicho señor alcalde á usar de su derecho en la demanda instaurada en él por parte de la señora condesa de Superunda; como madre, tutora y curadora de Doña Bernarda Manso, so bre la nulidad de una escritura de enagenacion de 300S) rs. del capital de 500$ , im puesto en los cinco Gremios mayores de esta corte, que en el año pasado de 1815 ¡otorgó á favor del precitado Alvarez la Sra. Doña Juana Manso del Aguila, religio sa en e…</t>
  </si>
  <si>
    <t>Manso, Manuel</t>
  </si>
  <si>
    <t>Manuel Manso</t>
  </si>
  <si>
    <t>…a cñ que ños retiñimos continué lá marcha á hacer no-^ ; ^he á Sto. Domingo , y en la madrugada del 17 hice salir la caballería á las * órdenes?&lt;íel. capitán dé. fieles, realistas D. Manuel Manso á reconocer lás ilánu^ rás;&lt;de Tiaholulá é lnmediatas , lo qué déSeinpeñó Sin otra novedad qiié.lá de haber' perseguido. 2 insurgentes de á caballo., logrando coger- la monturaidd uno, que favorecido!, del bosque ‘pudo libertarse: tr-ájo 3 bestias caballares;…</t>
  </si>
  <si>
    <t>7?9 vei^si consigue reducir á qlie se^ presenten lasCmadtes de estas y vOtraá familias «égon .ofreció. /•: ... -.í? * i:. Í-J c ;,}•••• .*7 „E1 20 salió el capitán D. Manuel Manso con 4a hombres de caballería desmontados por Xochóquistla a las inmediaciones .de. Monte Grande, donde hostilizaron al enemigo en cuanto fue dable. . ,,A las 11 de la noche puse en movimiento la división, y ordené al ci tado capitán que con 35 caballos de, la…</t>
  </si>
  <si>
    <t>…e ros Dionisio Mar 6 Isidoro Malerva; ídem segundo Tosef Antonio? frny Compañías de fieles.re alistas. El capitán D. Fermín Qorrochótegui, de la de Tenapachi; el capitán, graduado D. Manuel Manso., de ,la: de Tántoyuca; teniente D. Ramón Quirós, de la de Tantima; subteniente D. Rafael Contreras, de la de Tuxpan; idem D. Josef Joaquín Cowley, de la de Papantia. Campamento en el pueblo nuevo de Tepecintla 30 de Enero de .1818. =r Garlos María Llórente.…</t>
  </si>
  <si>
    <t>Manuel</t>
  </si>
  <si>
    <t>…n la ciudad de Veracruz el día 27 de Febrero de 1792, resultó por su testamento haber sido casado en la ciudad de Cá diz con Doña María de Mesa , dejando por herederos á sus hijos D. Manuel, Doña Antonia y Doña Rita Cañal; y respecto á que estos interesados no han solicitado el cobro de 16r pesos 5§ rs., que en el año de 1796 vinieron en el navio de guerra Santiago la América, pertenecientes á esta testamentaría, por cuyo líquido entraron en tes…</t>
  </si>
  <si>
    <t>…erritorio comprendido desde esta capital hasta la Puebla por Chalco, Texcuco, los Llanos de Apan, Pachuca y Tulancingo permanece en quietud, habiendo sofocado en sus principios el coronel D. Manuel de la Concha la conspiración que se tramaba en los Llanos por algunos indultados que fue ron prontamente descubiertos, y con su castigo quedaron escarmentados los demas. „ En 13 provincia de Veracruz, inclusas sus costas laterales y el distrito de las villas…</t>
  </si>
  <si>
    <t>…los Dolores Pa lacios, soldado que parece fue de laprimera compañía del segundo batallón del re gimiento infantería de Murcia, y asistente del capitán D. Vicente Castaños, hijo de D. Manuel (difunto) y Doña Josefa Calleja, su viuda, nieto y heredero de D. Ramón Palacios, cuya testamentaría pende en el juzgado del Sr. D. Josef Cavarn'iles, deíjConsejo de S. M., su alcalde de casa, corte y provincia,)' escribanía de D. Miguel Josef García de la Ma…</t>
  </si>
  <si>
    <t>…de dragones fieles D. Ignacio Prieto, que con 30 hombres de su.cuerpo se hallaba desde la madrugada de este dia emboscado detrás del fortin del cerro por disposición del insinuado comandante D. Manuel* Gómez, en el momento que observó que mi tropa avanzaba egecutó lo mismo con la suya, cortándoles la retirada, y obligándoles á volverse á meter en la forti ficación , entrándose con parte de su tropa en el reducto situado á espaldas de la iglesia , donde á m…</t>
  </si>
  <si>
    <t>…ilias, y bajo el paternal gobierno de nuestro amado Soberana. „Dios guarde á V. S. muchos años. Zinguilucan Octubre 21 de 1817.= Francisco Trespalacios. = Sr. coronel y comandante general D. Manuel déla Concha." ‘ SALVATIERRA. ' * . * ' ’ 1 Oficio del teniente coronel y comandante D. Antonio Larragoitu v Excino. Sr.: Acompaño á V. E. por el principal el parte que me da el capitán del regimiento de dragones del Príncipe D. Jo^ef María Soria sobre el resu…</t>
  </si>
  <si>
    <t>…tos referidos. Pendiendo en el juzgado del señor teniente de corregidor D. Joaquín de Almazan y escribanía de! número de D. Vicente de la Costa los autos de dimisión de-bie nes de D. Manuel de la Lama, vecino del comercio que fue de esta corte, á instan cia de D. Angel González, como marido de Doña María de la Lama, se ha seña lado para celebrar junta el dia .30 del corriente mes, á las nueve en punto de su ma ñana, en las casas del mismo señor…</t>
  </si>
  <si>
    <t>•4y2 tin de Gastañaga, autorizadapor D. Manuel: López de Rívas, escribánode pro vincia y comisiones;, se hámandado sacar á: pública subasta unacpsaprQpia de di» cha testamentaría, que se halla todavía sin concluir, sita en la calle Real del Ava. píesseñalada con el níim. ,2a. de la manzana 44, comprensiva…</t>
  </si>
  <si>
    <t>…España. DESTRUCCION DE LOS REBELDES DE PALO BLANCO Y SUS FORTIFICACIONES* Consecuente á las órdenes-dél Excmb. Sr. virey, comunicadas désde T .a dé Octubre .último á los Corónelés D. Manuel de lá Concha1 y D. Carlos María Llórente, acaba S. E.r;de recibir éf sigulenté parte -cón la• plausible noticia que en él se expresa., y por cuyo medio queda tranquila ia Huasteca, sin que los rebeldes de,ella tengan ya punto alguno de apoyo. , . . ^ ,, Excmo…</t>
  </si>
  <si>
    <t>…unferencia del pecho del barón era de 12 pulgadas y media , y la de la hembra de 13. La partera Doña Antonia Chavo, que asistió á este parto, dio inmediata mente parte al comadrón D. Manuel. Lósela, que en unión con D. Francis co Flores Moreno, médico de Cámara de número de S.-M., y protomédico de esta ciudad, asistieron á la madre, y observaron cuidadosamente estos extraordinarios fetos hasta el dia 4 del corriente en que murieron. Los dos ha b…</t>
  </si>
  <si>
    <t>…trabajos qué estas han presentado. ,, Dios guarde á Y. S. muchos años. Campo sobre mi marcha en el Cha popote 31 de Enero de 1818. sr Josef María Luvian. = Sr. comandante gene ral coronel D. Manuel de la Concha.” &gt; Sacedon 10 de Julio. \ Hoy a las siete y media de la tarde han llegado sin la menor novedad á está villa SS. MM. y A. después de un viage feliz, y han sido recibidos con las nías expresivas deriióstrácibnes de amor, respeto y fidelidad por un…</t>
  </si>
  <si>
    <t>…ento, 3 cabos y 16 soldadas. De reten: 3 subalternos, 4 sargentos, 10 cabos y 26 soldados de infantería, y 40 dé caballería del depo sito de Ultramar. Comandante de este cantón el brigadier D. Manuel Da van: su residencia en Tarifa. • Total fuerza dé este distrito: 26 subalternos, 34 sargentos, 67 cabos, 384 soldados de infantería, y 10$ de caballería. Comandante generar de este distrito el Excmo. Sr. í). Josef María de Alós, comandante general del Campo de…</t>
  </si>
  <si>
    <t>…e co ronel D. Ramón Rangel , comandante del segundo batallón del Infante D. An tonio ; y el de Rota, comprendido entre aquel puerto y el rio Guadalquivir, estará á las órdenes del brigadier D. Manuel. María Trevíjano. ,,• - 5.° El tercero se compondrá,.de. otros tres cantones dividido en esta? fqtma: el de Almonte, limitado entre el Guadalquivir y. ia Torre de la</t>
  </si>
  <si>
    <t>844 En virtud'de providencia del Sr. D. Manuel -Fernandez. Gamboa, del Consto de Si M. , alcaide de su Real Casa'y Gorfe ,' su; fecha 5 -debcón-jente * refrán dád a del cribano de provincia D. Valdomero Moraleda, ante quien está radicado el juicio; de testamentaría de D. Josef Ferreti £!aracc¡oÍo ,vy de c…</t>
  </si>
  <si>
    <t>…lara y Gerena,; testamentaría del Sr. Infante D. Luis, conde de Qasatagle, marques de Dos Aguas, vecino de Valencia, marques ¡de Cardona y Segorve, casas de los condes de Sautar,. D. Manuel dé Salas , al lugar de la Liseda, convento de S. Miguel de los Reyes de ValenciaPedro Ghauz, vecino dé Ticé da, í): ISÍ^gúél d¿ Lizürdia, los Medinas, vecinos de la ciudad de Cartagena de Indias1, Di Ráinon !de Villalba, vecino de la . ciudad de Sangüesa, D.r…</t>
  </si>
  <si>
    <t>…í y en nombre de su hijo menor D. Josef Trini4 dad Navarro Balboa y Doña María Ana Ducarne, viuda de D. Josef Navarro Balboa! como madre y tutora, y sus cuatro hijos de menor edad D. Manuel, D. Miguel, Doií Joaquín y Doña María Concepta Navarro y Balboa, sobre incorporación á-la!Real corona.de la escribanía de millones dé la ciudad de Lorca*. en cuyos autos, por de* cretó de siete de este mes, ha acordado dicho supremo tribunal se cite y emplace…</t>
  </si>
  <si>
    <t>…an Ruiz de Apodaca.” *&lt;., Partes del comandante D. MaViano1* Hernández.1 ’ 1 • • • ,,A jas 9 de la noche anterior llegó aviso del administrador de la hacienda del alto del' Lucero D. Manuel .Sta., María, .que mandó el parte verbal co&amp;;</t>
  </si>
  <si>
    <t>…e los restos de rebeldes, conforme á las órdenes de V. S. ,,Dios guarde á V- S. muchos años. Campo en Coahuitlan Abril 21 de 1818. = Josef María Luvian, ;=Sr. coronel y comandante general D. Manuel de la Concha.1*</t>
  </si>
  <si>
    <t>…. Be nito de Salas, D. Luis García, D. Juan Pablo Pavón, D. Francisco Javier Morales, D. Josef García, D. Miguel Granados, D. Josef Quintanilla, Don Juan Antunez, D- Juan Bellido, D. Manuel de la Serna , D. Rafael Grana dos, príncipe de la doctrina cristiana, y D. Martin Saenz, de Lebrija: Don Fraiieised1 González y D. Josef Martínez , de Sanlucar de Barrameda : D'. Josef Moreno, D. Manuel Felipe Caballero, D* Gaspar Angulo, D. Josef Gó mez Horm…</t>
  </si>
  <si>
    <t>…España: quien pueda dar alguna notiqia se servirá avisarlo en Cádiz á los sobrinos de Valdés y Ariza, ó en Sevilla áD. Manuel María de Soto. Quien tuviese noticia del paradero de D. Manuel deRiyas, Alvear y Perez do. Soto, natural y originario del valle de Soba , montanas d© Santanderque .desde tes tas pasó á América muchos áños‘ hace , y-sí en caso de haber fallecido ..dejó hijos ó herederos legítimos, se'servirá avisarlo á D. Diego dé Palacio…</t>
  </si>
  <si>
    <t>…Sr. D. Casimiro Antonio Gómez, por sí ó por medio de procurador, con poder bastante, á decir de su derecho en la instancia de tercería, promovida por la hija y heredera del propio D. Manuel , que si vinieren se les oirá y guardará justicia en lo que la tuvieren; apercibidos que de no comparecer les parará el perjuicio que haya lugar. La dehesa titulada de Serranos de la Torre, sita en la provincia de Avila, que se vende con facultad Real concedi…</t>
  </si>
  <si>
    <t>Manuel'Dábaii</t>
  </si>
  <si>
    <t>…mér .feátálldíl "del rcgíiñientó infantería de Galicia, mayoí general del ¿drdori.1 1 ' .1 1 ~ I'. ^ , Del distritb dé lá derecha* \ El brigadier" gobernador de la plaza de Tarifa‘D. Manuel'Dábaii, segundo comandante general del cordon; teniente coronel j&gt;. Francisco Daban, capi tán agregado al regimiento infantería de Galicia. Del distrito de la izquierda. ' \ . El brigadier D. Félix Prat, coronel, comandante del batallen segundo lbferoX JuanprimeroPr…</t>
  </si>
  <si>
    <t>Manuel, Juan</t>
  </si>
  <si>
    <t>Juan Manuel</t>
  </si>
  <si>
    <t>…ron á la de manu critos, en donde S. M. la Rf.ji*a nuestra Señora leyó con toda perfección, á pesar de la antigüedad desús caracteres, un pasage de las obras originales'dd Infante D. Juan Manuel, nieto del santo Rey D. Fernando. En seguida se trasladaron al precioso monetario , digno sin du da de ocupar un lugar distinguido entre los mas selectos de la Europa , y no» pudieron menos de manifestar su singular complacencia al registrar esté te soro tan…</t>
  </si>
  <si>
    <t>Manuel-Mato</t>
  </si>
  <si>
    <t>…f María Greges ha dirigido este léal vecindario, con el que ha estado siempre hostilizando á los rebeldes, y acaba de aprehender una partida de ellos de 13 hombres con el teniente coronel Manuel-Mato y otros tres ofi ciales blancos, llamados Pedro Mugiiersa, natural de la Victoria, Domingo Pa drino y N. Castro , que iban á reunir gente y abrir la comunicación con Cabruta por aquella parte, cuyo último punto está también en nuestro poder, y será reforzado…</t>
  </si>
  <si>
    <t>Maouel.de</t>
  </si>
  <si>
    <t>…celebrasen como era debido. ' estepuntoi’se .anunció c desdé ¿luego con 1 un repique general y coir -;E^i salva triple de artillería, y al dia siguiente dispuso el señor cura Dr* Don Maouel.de: Avila}? Mutioi una solemne función dé iglesia,de misa y Te TTeumy con asistencia del clero, oficialidad y porción considerable de individuos de ambos'sexos~que concurrieron i.ellay manifestando su interesante 'satisfacción en los felices acontecimientos dé l…</t>
  </si>
  <si>
    <t>Mar</t>
  </si>
  <si>
    <t>…vistas de los pueblos del reino de Valen cia, cada una á 2. __Retratos de la Familia Real , cada uno á 4. Instrucciones morales sobre los sacramentos de la iglesia, dichas por el Sr. Mar tin!, arzobispo de Florencia, en su iglesia metropolitana, traducidas del italiano por T&gt;. J. de V. U. Se vende en la librería de Arribas, calle de las Carretas. Colección de armaduras egecutadas en varios edificios suntuosos, grabadas para estudio de los que…</t>
  </si>
  <si>
    <t>…os de 150 pesos de Enero de 1808, números 239778 y 304401 ; y los otros dos de 300 pesos de Mayo de 1808 , nú meros 435473 y 452215: l°s ^ue se hallan retenidos por reclamación de D. Mar tin Josef de Larrañaga, vecino déla villa de Balsain, para que dentro del expresado término comparezcan por sí ó por medio de procurador, y en forma, á usar deldei recho que crean asistirles ante dicho señor; con apercibimiento de que pasado sin haberlo hecho…</t>
  </si>
  <si>
    <t>Mar, Antonio</t>
  </si>
  <si>
    <t>Antonio Mar</t>
  </si>
  <si>
    <t>…110 infantes y 278 caballos con dos cañones de á 4. „ Para combinar bien el ataque despaché mis órdenes con anticipacional teniente coronel graduado del Real cuerpo de Artillería D. Antonio Mar tínez, comandante de la línea de Riobio, y residente en la plaza de S. Pedro, para que con su pequeña fuerza de algunos fusileros, milicianos, indios de lanza, y tm canon pasase el rio con el objeto de entretener y llamar la aten ción al enemigo, dándole -par…</t>
  </si>
  <si>
    <t>Mar, Juan Bulfi</t>
  </si>
  <si>
    <t>Juan Bulfi Mar</t>
  </si>
  <si>
    <t>…lo hayan conocido, y sepan la suerte que le cupo en dicha batalla, tengan la bondad de noticiarlo en Madrid á D. Josef Irunciaga, del comercio, calle Mayor, núm. 9, y en Bilbao á D. Juan Bulfi Mar tínez, también del comercio; y si después de dicha época lo hubiesen visto en Es paña ó Francia se servirán manifestar en qué pueblos y con qué empleo ó destino. Nociones de economía política. Esta obra tiene por objeto principal el estableci miento de un sis…</t>
  </si>
  <si>
    <t>Mar, Juan Isidro de</t>
  </si>
  <si>
    <t>Juan Isidro de Mar</t>
  </si>
  <si>
    <t>…merecen. ,,Dios guarde á V. E. muchos años. TepecoáCuilco Octubre 21 de 1817.32 Excmo. Sr.=Josef Gabriel de Armijo. = Excmo. Sr. virey D. Juan Ruiz dé Apodaca.” Parte del teniente coronel D. Juan Isidro de Mar ron* j ,, Adjunto acompaño á V. S. para su conocimiento el parte original, qué con fecha de ayer me ha pasado el capitán graduado D. Bernabé Vilianue— va, relativo á la acción que en combinación con el teniente coronel Don Manuel Gómez sostuvieron las tropas…</t>
  </si>
  <si>
    <t>Már, Mariano</t>
  </si>
  <si>
    <t>Mariano Már</t>
  </si>
  <si>
    <t>…enseñaron los referidos indultados, también ha sido de mucha importancia la actividad del comandante de la, partida, y budn acierto en sus disposiciones y elección ¿n los sugetos teniente D. Mariano Már •ciel y sargento D. Juan Ramírez , que mandaron las dos partidas que egecutaron la sorpresa. ,,Todo lo que participo á V. E. para su superior conocimiento. ,,Dios guarde á V. E. muchos años. S. Pedro Piedragorda Diciembre- 5 de 1817. = Excmo. Sr. =Juan Flores…</t>
  </si>
  <si>
    <t>Mar, Matías</t>
  </si>
  <si>
    <t>Matías Mar</t>
  </si>
  <si>
    <t>…á la protección decidida con que el cielo fa vorece el feliz gobierno de V. E.; á sus sabias, activas y acertadas providen^ cias, al infatigable trabajo de este comandante general coronel D. Matías Mar*</t>
  </si>
  <si>
    <t>Mar-, Ramón</t>
  </si>
  <si>
    <t>Ramón Mar-</t>
  </si>
  <si>
    <t>…, con facultad de poderla introducir por cualquiera de los puertos de; la península; y teniendo presente S. M. los mo tivos que impulsaron las referidas Reales órdenes'en favor de D. Ramón Mar-</t>
  </si>
  <si>
    <t>Marandet</t>
  </si>
  <si>
    <t>funta Reina viuda, que se celebrarán dentro de tre* semanas en la iglesia de Rítterholmsv Idem 8 de Julio. . i El barón Marandet, ministro dé Francia en Hamburgo, y enviado extra ordinario de S. M. Cristianísima Luis xvin, Rey de Francia, á esta corte para felicitar á nuestro Soberano sóbfe sií"elevación al tróno, pronunció en su primera audiencia el discurso siguiente: ,, Señor: El Re…</t>
  </si>
  <si>
    <t>Marchante, Dionisio</t>
  </si>
  <si>
    <t>Dionisio Marchante</t>
  </si>
  <si>
    <t>…estilo general y común del pais. jo. También se ha mandado abrir una lámina que represente el arado nuevamente inventado por el mismo señor Regás; y el promotor de esta so ciedad D. Dionisio Marchante ha encargado al autor haga construir á sus expensas dicho arado en grande, y se le remita á esta villa, para que viendo todos sus ventajas, se generalice tan útil invento. Lebrija (provincia de Sevilla') 20 de Marzo. “Esta villa, que cuenta entre sus glorias…</t>
  </si>
  <si>
    <t>Marcial</t>
  </si>
  <si>
    <t>…r el ayunta miento, y agradecimientos que le hacen el capítulo eclesiástico, y convento de Santo Domingo. Los pretendientes dirigirán sus memoriales. a¿ secretario de ayuntamiento D. Marcial; Albalate hasta el 1 i de Agosto próximo. Habiéndose solicitado el paradero de Dona Josefa Munieja, hermana del coro nel D. Tadeo, que falleció en Guatemala, para comunicarle noticias que le interesa ban, solo se ha averiguado que murió, dejando otro hermano…</t>
  </si>
  <si>
    <t>Marconell, Ramón</t>
  </si>
  <si>
    <t>Ramón Marconell</t>
  </si>
  <si>
    <t>…en esta corte, ?CaVia baja’, núm. 25, cuarto 2.°, hasta mediados de Mayo, que saldrá de aquí á su desfino; el de Ledesma D. Pablo Montesino en Valencia de Alcántara, y el de Alama D. Ramón Marconell en Calatayud: 6° y último que las personas que quieran cóhsultar con los referidos profesores sobse si podrá ó 'no converiirles el 'beber alguna -de las aguas anunciadas, ó bañarse én ellas an.tes de salir de sus casas, deben verificarlo franqueando las'carta…</t>
  </si>
  <si>
    <t>Marescót</t>
  </si>
  <si>
    <t>…a la Haya. FRANCIA. .y -o- :.‘i 'Bkrfá g$‘dejiiliói- o.. y... — - _ ;•* í¿2..y. , 0 . L * «■ 1 La comisión de defensa del reino que se ha formado en Paris bajo.la pre sidencia del general Marescót ha empezado ya sus tareas. El primer objeto en que'deberá ocuparse-será la línea de .las fronteras de Francia, que se extiende desfie elAlto-Rhin hasta el mar del Norte ,* y en órden á ella;i presentará un plan, circunstanciado lacomisjpn para-poneiírlaen un…</t>
  </si>
  <si>
    <t>Margarita</t>
  </si>
  <si>
    <t>-'habidt ea su primer matrimonio con Dolía María Ana de Paíazuelosj Doña Manuela de Herrera Cajiga, habida en su segundo con Doña Margarita de la Caji«¿ ga; D. Roque y D. Santiago de Herrera y Cevallos, habidos en su tercero y último matrimonio con Doña María de Cevallos; de la cual, en vista de la aprobación que ¿de ella &gt;se pidió por D. Francisco Josef Fernandez Heras, marido de la Doña Ma nuel…</t>
  </si>
  <si>
    <t>María</t>
  </si>
  <si>
    <t>…I O. Después que- el embajador dei&gt;R©Y: nuestro Señor,en Turin verificó, st-r,. ■ de Lucá en nomgun queda ya publicado, la toma de posesión del ducado bre de S. M. la Sra. Infanta Doña María:Luisa, permaneció durante algunos dias siendo testigo del ardiente deseo de aquel; pueblo por gozar: de la pre sencia de su nueva Soberana; y no perdiendo ocasión el embajador de satis facer á tan anticipadas y vivas pruebas de lealtad y afecto por parte de a…</t>
  </si>
  <si>
    <t>…Reina ; y no pudiendo gozar completamente de la felicidad que me prepa4 Ta este dia, tanto mas célebre por el dichoso enlace de mi amado y augusto Hermano D. Carlos con la Infanta Doña María .Francisca, sin aliviar antes; ■en cuanto permitan las leyes y la situación del reino, la suerte de los des graciados que gimen bajo el peso de sus crípieneshe, venida en conceder</t>
  </si>
  <si>
    <t>…la sociedad. Ultimamente el niño premiado D. Vicente Gomis recitó unos en decasílabos, dando gracias á nombre de sus compañeros, y lo mismo prac ticó diciendo otros por las niñas Doña María de. la Concepción Elío. Para costear estos premios contribuyeron generosamente, el Excmo. Sr. arzobis po director con 3® rs. vn.: el limo. Sr. comisario general de Cruzada con 6600 rs. vn.; y el Sr. D. Juan Martínez Hermosilh con 180 rs. vn. Con cluido lo cua…</t>
  </si>
  <si>
    <t>…S. M., teniente corregidor de esta muy heroica villa, y escribanía de Dan Antonio Villa y Fernandez, por cuyo juzgado se ha mandado emplazar á los pa rientes mas inmediatos de la Doña María, y que se crean con derecho á heredar abintestato, para que en el término de 30 dias, contados desde el 13 del corriente, que por tres y el último con la calidad de perentorio se les concede, acudan por sí ó por medio de procurador í pedir lo que estimen; con…</t>
  </si>
  <si>
    <t>i7* marques del Cerfó Scc., que lo es de la de Andujar, como padre, tutor y legitimo administrador de la Sra. Doña María de la Cabeza Tavira y Montalvo, marquesa de Torreblanca y de Falces, condesa de Santistéban, sobre paga de diferentes cantida des de maravedises procedentes de la renta de 500 ducados de vellón en cada uu año, que dejó el Excmo. Sr. D. Diego Antonio Felicio d…</t>
  </si>
  <si>
    <t>…de haber cumplimentado á SS. MM.y AA. se restituyó al buque , acompañada de la Reina nuestra Señora, de los Sermos. Sres. Prín cipe Real é Infante, y de la Sermas. Sras. Princesa Doña María é Infantas, los cuales pasado algún tiempo volvieron á la falúa en que se había quedado el Rey nuestro Señor, y se retiraron en medio de nuevos saludos de la plaza ■y de todos los buques. El dia siguiente á las 11 de la mañana salió del Real palacio la Reina…</t>
  </si>
  <si>
    <t>…ro de D. Vicente de la Costa los autos de dimisión de-bie nes de D. Manuel de la Lama, vecino del comercio que fue de esta corte, á instan cia de D. Angel González, como marido de Doña María de la Lama, se ha seña lado para celebrar junta el dia .30 del corriente mes, á las nueve en punto de su ma ñana, en las casas del mismo señor juez, con citación de los interesados. Hace como 50 años salió de la ciudad de León Manuel Marino, conocido por el G…</t>
  </si>
  <si>
    <t>…en la referida escribanía o á su curador ad litcm D. Estanislao Godino y Muñoz, procurador de los Reales Consejos. t . . . ...... Se cita a los acreedores en la. testamentaría de Doña María de la Encarnación Ncstares y .Chapínj viuda que fue de.D. Francisco Herrera, para que concurran á la junta que ha .de celebrarse en la posada del Sr. D. Ángel Fernandez de los Ríos, teniente corregidor de esta muy heroica villa, en el día 13 de Junio próximo…</t>
  </si>
  <si>
    <t>…ó el cápítulo compuesto cíe 98 caballeros , exal tando el . jubiló de que estaban llenos sus cprazónes ,1a agradable, presencia de&gt; la Reina nuestra Señora y Seriná. Sra; Irífanta Doña María -Francisca, que después de principiada la función se dignaron asistir á ella , dejándose ver desde la tribuna. : . ’ * La enti-ada y salida del capítulo fue anunciada con toques. marciales por ks músicas de los regimientos, de la Corona y , Válen&lt;;ay, Oficián…</t>
  </si>
  <si>
    <t>…ones á una de las huérfanas de los militares ó patriotas que hubiesen muerto en defensa de la justa causa de la nación, ha cabido en suerte del primer extracto de la de este dia á Doña María de los Dolores León, hija de D. Rafael, teniente que fue del regimiento de infantería del inmemorial del Rey, muerto en el campo del honor. Los tenedores de boletas y. resguardos dados por la suprimida dirección de carruage procederán á su presentación en la…</t>
  </si>
  <si>
    <t>…381069 y 404579, que se hallan retenidos en la oficina de reno vación y espedicion de documentos del Crédito publico sin procederse á ella, conse cuente á la reclamación hecha por Doña María de los Dolores Galeote, en cuya ca-i beza salieron en aquella renovación ; é ignorándose de su existencia y paradero, ha acor dado el expresado señor juez que se la cite, llame y emplace por término perentorio de un mes, á contar desde el dia el en que salga…</t>
  </si>
  <si>
    <t>María'deTOrres.’, Mañüel</t>
  </si>
  <si>
    <t>Mañüel María'deTOrres.’</t>
  </si>
  <si>
    <t>…to de*V.. S. ' o r rr:tí ?í;i¿: • : fi.no o:-¿/n -&gt; {ir*v?tr »'•*» a. í-'j o:t Dios-guarde á-V/S^ffibchbs año&amp; ;Hacieií¿a ^l-W^cocho 'Matzó '6 de’ 1B18. = Gregorio de Arana. = Srv brigadier D. Mañüel María'deTOrres.’1’ 1 f r............ •_ &lt;. &gt;' * .1 -* i ¡ L* ' i\ i ^- * - ■! r ¿ ' íj.'y (r. Idem 6^de;#y#w${¿ ,7.. v. : r &gt;:&gt; provincia' de güanaxitato. -íl1,. ¿h- -7 • . ;J r&gt;0*ir* J ’ ,i * ''v-í-lí? rí:y' /V Parte del r /JL comandantes general jÉ). ‘jirifónio de Linares.…</t>
  </si>
  <si>
    <t>María, Jorge</t>
  </si>
  <si>
    <t>Jorge María</t>
  </si>
  <si>
    <t>…nuestro Señor sé lia servido'conceder plaza dé ministró serpérnú-» tnerario en *ef Consejó supremode ía Gtierra á £&gt;: NicoIas María Réndon, Secretario de la Cámara ¿ este empleó á D. Jorge María dé la Torre t secreta rio de dicho tribunal; y su resulta á D. Pedro Díaz de Ribera , oficial ma^ yor de la secretaría de Estado y del despacho de la Guerra. r Por Real, resolución de.S. M., á consulta del p, 5^ ha 5seryido ponceder a* la. .vil la-de Cebolla…</t>
  </si>
  <si>
    <t>Máríá, Miguel</t>
  </si>
  <si>
    <t>Miguel Máríá</t>
  </si>
  <si>
    <t>…gimieat0:infantería de. la Reina; y í 1 oficial,, t sargento, 1 ca-4 bo y 14 soldados de caballería del regimiento i.° de línea. Segundo^ distrito} comandante el teuicnre co.rQnel D. Miguel Máríá: Gampuzañovcapitañ dél (re gimiento de eaballearí^deliRey^ jFüerzá que le ;ciibre::5;oficiales^ i¿ sárgen** tos, 20' cabps,-,2r tambores,yi:i:i6 sbldadds¿del ¿régimiéntode;-iqfantería^de&gt;ik Reina y y j;,oficialy 2:i¿abós,.yi 14-saldados de caballería deP regi…</t>
  </si>
  <si>
    <t>María, Pedro</t>
  </si>
  <si>
    <t>Pedro María</t>
  </si>
  <si>
    <t>•Menocal, teniente D. Mantiél Ortfzyy los graduados D. Pedro María, Ana ya, D. Luis Carrera, D. Ignacio Romero Pando y *D. Manuel González , al féreces D. Melchor Armenteros, D. Apolinario Rodea y D. Miguel Rodrí guez. Dragones de S. Luis: teniente coronel graduado D. Anastasio Bustamante, capitán graduado D. Felipe Mendez,…</t>
  </si>
  <si>
    <t>María, Pedro Antonio</t>
  </si>
  <si>
    <t>Pedro Antonio María</t>
  </si>
  <si>
    <t>…barca, y D. Martin de Valdivieso Morquecho, vecino del lugar de Muriedás, viudo de Doña.Fermina de la Puente Herrera,y legítimo administrador de las per sonas de sus hijos menores D. Pedro Antonio María y Doña Hemeteria Ignacia de Valdivieso y Puente; é igualmente al curador que tuviese D. Francisco Xavier de la Puente Herrera, otro hijo de los expresados D. Josef Joaquín y Doña Ana María de Herrera, que era mudo de nacimiento, y en su defecto al que se le crease por la justicia de…</t>
  </si>
  <si>
    <t>María, Pió</t>
  </si>
  <si>
    <t>Pió María</t>
  </si>
  <si>
    <t>…irme. ,,Dios guarde á V. E. muchos años. Jalapa Mayo 22 de 1818,¡^Exce lentísimo Sr.=Ciriaco de Llano.=:Excmo. Sr. virey D. Juan Ruiz de Apodaca.” IXTLAHUACA. Oficio del coronel y comandante D. Pió María, Ruiz. ,,Excmo. Sr.: En las demarcaciones de Ixtlahuaca y Temascaltepec, que están á mi cargo, no ha ocurrido en la semana anterior otra novedad particu lar que la muerte de un rebelde y aprehensión de otros cuatro. ,,Dios guarde á V. E. muchos años. Maravati…</t>
  </si>
  <si>
    <t>María, Vicente</t>
  </si>
  <si>
    <t>Vicente María</t>
  </si>
  <si>
    <t>…la bondad de repartir por su misma Real mano los premios á los maestros, pasantes ya examinados, á los niños pobres y de paga. Empezóse este acto leyendo el secretario déla junta D. Vicente María dé Arauna un breve discurso, después de lo cual los siete niños pobres y los dos de paga premiados en cada una de las 62 escuelas recibieron de mano de S. M. los premios á que se habían hecho acreedores, y los dos pasantes D. Fer nando Algora y D. Juan Pendar…</t>
  </si>
  <si>
    <t>María-Yaríez, Jtfsef</t>
  </si>
  <si>
    <t>Jtfsef María-Yaríez</t>
  </si>
  <si>
    <t>á mi inmediato hitando,;y éíotro al,det teniente D. Jtfsef María-Yaríez, tar mando los caminos de S. Simón y Sta. María por si el enemigo quisiese etnprender una fuga vergonzosa antes que el teniente coronel D. Manuel Gómez los escarmentase. Mas en vista de que no oía rumores ni tiroteos, m^.iDui aproximandóá» las Tortisficacipne…</t>
  </si>
  <si>
    <t>Mariano</t>
  </si>
  <si>
    <t>…llo \ Don Diego Fernandez Carcelen; D. Antonio Lardin y Pinto; D. Antonio Fer* nandez Carcelen; D. Francisco Osorio y Bernal; D. Manuel Marín y Ra mos; D. Juan López y Martínez, y D. Mariano dé la Vega y Romero. Quien quisiere comprar una casa sita eñ el lugar de Fuencarral, y calle que lia— man dé'Juan Pardo , que tiene de sitio *887^ pies cuadrados superficiales, tasada últimamente en 10657 rs. t y un pajar existente en las calles de Sta.Ana al…</t>
  </si>
  <si>
    <t>…on á la chusma con tan decidido valor aquellos oficíales, que no tuvieron los rebeldes mas tiem po que el de disparar muy pocos tiros, cayendo en manos del alférez de rea-* listas D. Mariano, Estrada y cabo Josef. Hernández el cabecilla Bravo, sin que</t>
  </si>
  <si>
    <t>Mariano, Josef</t>
  </si>
  <si>
    <t>Josef Mariano</t>
  </si>
  <si>
    <t>…spacho fue presentado en la citada villa de; Bilbao; pero á pesar de las diligencias con él practicadas, no pudo ser habida la Doña Dominga, por lo que á nueva instancia del mismo D. Josef Mariano ha acor dado dicho señor teniente se la cite y emplace á la misma Dona Dominga por este periódico, para que en el término de 30 dias siguientes al de su publicación se pre sente en su juzgadorá exponer el motivo de su reclamación ; con apercibimiento que si n…</t>
  </si>
  <si>
    <t>Mariano.Beristaín, Josef</t>
  </si>
  <si>
    <t>Josef Mariano.Beristaín</t>
  </si>
  <si>
    <t>…ndulto en él mismo tiempo un consider. ble número de cabecillas que las mandaban, sobre 12© hombres , 1300 familias., 180 pueblos y 40.repúblicas de indios»1' Por fallecimiento de D. Josef Mariano.Beristaín, deán de la iglesia, me tropolitana de México, sé ha servido S. M. nombrar para dicha dignidad £ D. Andrés Fernandez de la Madrid , tesorero de la misma santa iglesia; para esta dignidad á D. Nicasio Labarta, capellán mayor de las carmelitas des-calzas de Méx…</t>
  </si>
  <si>
    <t>Mariano’Vallejó, Josef</t>
  </si>
  <si>
    <t>Josef Mariano’Vallejó</t>
  </si>
  <si>
    <t>…tado .elemental de matemáticas , escrito de orden de S. :M: para üsó’de lói caballeros seminaristas del Real seminario de Nobles de Madrid y demas casas dé educación del reino por D. Josef Mariano’Vallejó, catedrático que fue de matemá ticas, fortificación , ataque y defensa de las plazas en dicho Real seminario , é indi viduo de varios establecimientos científicos: tomo 3.0, parte i.a, que contiene la mecánica, dividida ensus ¿cuatro tratados de estática!, di…</t>
  </si>
  <si>
    <t>Marina</t>
  </si>
  <si>
    <t>…a preocupación de los oficiales patriotas (los rebeldes). Hace algún tiempo que nos ofrecimos con otros ocho oficiales ingleses, uno francés yotros muchos del pais, á acompañar al general Marina en una peligrosísima ex</t>
  </si>
  <si>
    <t>Marina, Santa</t>
  </si>
  <si>
    <t>Santa Marina</t>
  </si>
  <si>
    <t>…ta partida de bandidos vaga errante por la provincia, hu^efido siempre de las tropas del Rey nuestro Señor que le persiguen sin cesar. ’ ,, Estoy muy satisfecho de la conducta del coronel Santa Marina en las operaciones del sitio, y de las medidas que tomó para él el comandante de las villas de Orizaba y Córdoba coronel D. Francisco de Hevia, como igual mente de ios oficiales y tropas que concurrieron á la empresa, y me apre suro á comunicarlo todo á V. E.…</t>
  </si>
  <si>
    <t>Marina, Secretario de</t>
  </si>
  <si>
    <t>Secretario de Marina</t>
  </si>
  <si>
    <t>…cia y Justicia, comunicó al Consejo por medio del limo*. Sr. decano de él, con fecha 20 de Mayo de este año, la Real orden siguiente: limo. Sr.: Con fecha 2 de este mes me dice el señor Secretario de Marina lo que sigue: „E1 Rey nuestro Señor se ha enterado de que el gobernador de la ciu dad de Santander se ha negado á faciiiatr el auxilio de alojamiento y bagages en su tránsito por aquel punto, al oficial segundo del cuerpo político de la</t>
  </si>
  <si>
    <t>Marina, Secretario del Despacho de</t>
  </si>
  <si>
    <t>Secretario del Despacho de Marina</t>
  </si>
  <si>
    <t>…Bayona 29 de Diciembre de 1817. = Excmo. Sr, = Josef Antonio de Iparraguirre.” El comandante del apostadero de Puerto-Cabello y de la escuadrilla Real de Venezuela avisa al Excmo. Sr. Secretario del Despacho de Marina , con fecha de 12 de Setiembre último, que el general en gefe del egército expedi cionario D. Pablo Morillo ha declarado bloqueadas las costas de Guiria y bocas del Orinoco; lo cual se avisa ai público para su conocimiento. El buque ingles llamado el Tigre, n…</t>
  </si>
  <si>
    <t>Mariscal, Saturnino</t>
  </si>
  <si>
    <t>Saturnino Mariscal</t>
  </si>
  <si>
    <t>…or haber ejercitado en las diferentes clases referi das con extraordinario conocimiento de todas. Escuela pía del Eíno. Sr. cardenal arzobispo de esta ciudad, al cargo del maestro D. Saturnino Mariscal de la Palma. £ñ escribir: gremio superior á Andrés Martin Candelas: ídem i*° á Eulogio Salcedo, 2.0 a Josef Conde. En leer á Josef Catalan. En Fleuri á Raimundo Bello. En verso á Francisco Morejon. En aritmética á Víctor .Alcalá. En gramática castellana : i.°…</t>
  </si>
  <si>
    <t>Markelyne</t>
  </si>
  <si>
    <t>…armadores , pues solo iban desti nados á la Groenlandia. ; 1,1 En 1746 se.hicieron otras tentativas infructuosas; mas con todo los nave gantes invernaron en la bahía de Hudson. El doctor Markelyne asegura que un tal Stephens llegó en 1754 á la lati tud de $4° y medio. : ^ ¡ c ; vi</t>
  </si>
  <si>
    <t>Marques, Manuela Menendez</t>
  </si>
  <si>
    <t>Manuela Menendez Marques</t>
  </si>
  <si>
    <t>…zas de hilo fi nísimo, hilado, torcido y blanqueado por su mano* sin perjuicio de las la bores domésticas, y de cuidar tres hermanas menores que tiene en su com-; pañía: 40. rs. á Doña Manuela Menendez Marques por haber presentado igual mente otras 12 onzas hiladas., torcidas y blanqueadas por su mano en aque llos momentos dispensados ai recreo: 40* rs. á Doña Joaquina Martínez de la Pedrera por seis madejas de hilado de la mayor delicadeza : 40o rs; á Doña Teresa…</t>
  </si>
  <si>
    <t>Marqués, Narciso</t>
  </si>
  <si>
    <t>Narciso Marqués</t>
  </si>
  <si>
    <t>…ó alP.Josef del Nombre de María, dej l#s escuelas Pías, que cedió el numerario en favor de la sociedad. En el mismo acto de la distribución cedieron la parte pecuniaria del premio D. Narciso Marqués y Doña Francisca Marti de Pando. Habiendo ocupado los premiados el lugar distinguido según costumbre, el niño premiado D. Francisco Burgués recitó una oda dando las gracias á nombre de sus compañeros, y lo mismo practicó por las niñas Doña Josefa Sebastiá. Después de lo cual el niño Vi cent…</t>
  </si>
  <si>
    <t>Marques, Raimundo</t>
  </si>
  <si>
    <t>Raimundo Marques</t>
  </si>
  <si>
    <t>…dalla de oro y la nobleza personal. r Escuadrones del Rey. D. Raimundo Flores se le confirmó en su em pleo, y sé le concedió el Don personal. ^ - , • ' ] Campo volante de Orituco. D. Raimundo Marques fue confirmado- en su</t>
  </si>
  <si>
    <t>Márquez, Josef Joaquín</t>
  </si>
  <si>
    <t>Josef Joaquín Márquez</t>
  </si>
  <si>
    <t>…c. ESPAÑA. México 3 de Abril. El abogado D. Josef Sotero de Castañeda, que entre otros muchos su jetos se presentó con su familia á disfrutar el beneficio del indulto , entregó al coronel D. Josef Joaquín Márquez y'Donallo la representación siguiente, dirigida á este Excmo. Sr. virey. ,, Excmo. Sr.: Penetrado de dolor, y convencido por la triste experien cia de seis años de que la felicidad social no puede conseguirse ni prefijarse entre los horrores de un tumulto pop…</t>
  </si>
  <si>
    <t>…dos les declaré en nombre del Rey nuestro Señor la Real gracia de indulto publicado con motivo del feliz desposorio de S. M., dando las gracias al coronel del regimiento de Lobera D. Josef Joaquín Márquez, co mandante de Misantla , y sus oficiales y tropa , por las fatigas y privaciones que han sufrido en la pacificación de aquel distrito , y concediendo el grado inmediato al capitán, teniente, subteniente, sargento y cadete mas antiguos dei expresado cuerpo ,…</t>
  </si>
  <si>
    <t>Marrón, Juan</t>
  </si>
  <si>
    <t>Juan Marrón</t>
  </si>
  <si>
    <t>…o 27 de Octubre, s ^ Continuación de los partes de Nueva-España. •'■ ■ ■ RUMBO DEL SUR?. ; ' T&gt;el coronel y comandante general £&gt;. Josef Gabriel de Armijo. „Excmo.Sr,: El teniente coronel D. Juan Marrón, comandante de ía sección de Teloloapan , en oficio de 13 del corriente me manifestó que noti cioso de que en A'ahuixtlan se hallaba una gruesa partida de rebeldes , al man do del faccioso Pablo Campos , Izquierdo y otros, tenia oficiado al teniente corobdl D…</t>
  </si>
  <si>
    <t>Marrón, Juan Isidro</t>
  </si>
  <si>
    <t>Juan Isidro Marrón</t>
  </si>
  <si>
    <t>…incluyo , como igualmente lo egecuto con el que rae ha da do el capitán de dragones del Sur D. Bernabé Villanueva, quien por orden, del teniente coronel graduado del mismo cuerpo D. Juan Isidro Marrón, y por combinación hecha con el teniente coronel D. Manuel Gómez, se halla ba situado én los puntos que demarca y con la fuerza que expresa^ „ El resultado de esta acción ha sido haber perdido los rebeldes como 110 hombres, que fueron muertos por estas valien…</t>
  </si>
  <si>
    <t>…impe dirlo, dispuse salir á escarmentarle en la madrugada del 19 sübdividíendo mi' fuerza disponible en t^es partes, la una de 150 caballos, que puse á las órdenes’, del teniente coronel D. Juan Isidro Marrón, para que por mi derecha pdf la parte de S. Cristóbal al norte del Mezcala emprendiese su marcha á Tanganguato , frente deL estrecho ; y la otra de igual numero, compuesta de infan tería y caballería, confié al de la misma clase D. Ignacio de Ocampo,¿ á quien…</t>
  </si>
  <si>
    <t>Marrón, Juan Isidro de</t>
  </si>
  <si>
    <t>Juan Isidro de Marrón</t>
  </si>
  <si>
    <t>…ESPAÑA.. México 13 de Marzo. Continuación de los partes de Nueva-JEspaña. \ . ,, Excmo. Sr.: Paso á las superiores manOs de V; E. pl oficio y parte que me lia remitido el teniente coronel D. Juan Isidro de Marrón , de la gloriosa acción que tuvo el destacamento del pueblo de Cutzamala con la gavilla de 100 hombres que al mando del cabecilla Pablo Campos trataron de sorpren derle. • : ,, Recomiendo á V. E. el mérito del capitán D. Manuel Galeana, y del sargento Josef M…</t>
  </si>
  <si>
    <t>…ayer á este pueblo vió todo el destrozo que se les causó á los facciosos. ,j Dios guarde á vmd. muchos años. Cutzamala Febrero 11 de 1818.=Matiuel Elivar y Galeana. = Sr. teniente coronel D. Juan Isidro de Marrón.” S. E. ha mandado dar las gracias en nombre del Rey nuestro Señor á to dos los individuos que obtuvieron la acción que refiere el antecedente parte, y ha concedido el grado inmediato al sargenta Talavan. r Madrid 2, de Octubre. Plan de egercicios literarios…</t>
  </si>
  <si>
    <t>…cabecillas sin armas. No ha ocurrido otra novedad de consideración* ,, Dios guarde a .vmd. muchos años. Cutzamala Febrero 5. de 1818. = Ma-, nuel EHvar y Galeana. == Siv teniente coronel D. Juan Isidro de Marrón.1' Madrid 5 de Octubre. ARTICULO DE OFICIO. El Rey nuestro. Señor se ha dignado admitir con el mayor aprecio la do* nación voluntaria que han hecho las capitales y demas pueblos ae los distri tos de los regimientos provinciales de Toledo, Plasencía , Ronda ,…</t>
  </si>
  <si>
    <t>Marroquin, Francisco Xavier de</t>
  </si>
  <si>
    <t>Francisco Xavier de Marroquin</t>
  </si>
  <si>
    <t>…sta muy heroica villa, se vuelve á citar y emplazar, por último y perentorio tér mino de 15 dias, contados desde la publicación de este aviso, á D. Francisco Anto nio Martínez , y D. Francisco Xavier de Marroquin, últimos cedcntes de un vale Real de 600 pesos de i.° de Enero de 1809, señalado con el núm. 365046, que de órderi del Gobierno se halla detenido por pertenecer al Estado, á fin de que acudan ante S. S., y por la escribanía del número de D. Tomas de Sancha y…</t>
  </si>
  <si>
    <t>Marschall'</t>
  </si>
  <si>
    <t>…ont ha recibido órdenes -relativas á la partida de las tropas de su man do, lás Cúales parece que deben evacuar la Alsácia del 16 al 31 de Octubre. • La división del teniente feld-mariscal Marschall', cuyo cuartel-general se hallaba'en Molsheim, ha recibido de Colmar órdenes relativas á su marcha, y en toda esta semana saldrán algunos regimientos. Un gran número de tropas francesas está actualmente en movimiento ha cia el norte con el objeto de tomar pose…</t>
  </si>
  <si>
    <t>Marshall</t>
  </si>
  <si>
    <t>…r interes, com pletan sin embargo la relación de los acontecimientos militares que han ocur rido en aquella parte del mundo. Uno de dichos partes es del general Munroo, y otro del general Marshall: el i.° es de 11 de Mayo participando la toma de las obras exteriores de la plaza de Sholapore, corno también la derrota completa y la dispersión del resto de la infantería de Bajee-Row, que as cendía á unos 5© hombres y de 600 á 700 caballas, mandados por un…</t>
  </si>
  <si>
    <t>Marta, Josef</t>
  </si>
  <si>
    <t>Josef Marta</t>
  </si>
  <si>
    <t>…; muyarribatemible.mencionados,=: Gibraltarmenos,del3 de Juliobarcode de1818.=Ben talet , van á tierra todos los dias. 2.0 Oficio del gobernador de la plaza de Gibraltar al Mxcmo. Sr. Don Josef Marta de jAJós, comandante general del campo. -,,Cuartel general..__Gibraltar 4 de Julio de 1818. — Excmo. Sr.: Muy señor mío y estimado general: Tengo el lionor de participar á V; E, que he dispuesto que á todo barco que llegue á esta procedente de cualquier puert…</t>
  </si>
  <si>
    <t>Martel, Blas Antonio</t>
  </si>
  <si>
    <t>Blas Antonio Martel</t>
  </si>
  <si>
    <t>…y heroica villa-----Para el cor regimiento de las cuatro villas de la Hoya de Málaga, su capital Cohin , á D. Francisco Xavier Mosquera de Rega; y para el de la villa de Almonte á D. Blas Antonio Martel: para la vara de alcalde mayor de la villa de Ubrique á D. Antonio Villareal y Sanabria: para la de la ciudad de León., va cante por traslación de D. joaquin Ruiz de Arechavaieta á la .de Alará, á D. Manuel Prudencio Sobrino: para la de las Nuevas poblaciones…</t>
  </si>
  <si>
    <t>Martí, Francisco de Paula</t>
  </si>
  <si>
    <t>Francisco de Paula Martí</t>
  </si>
  <si>
    <t>…del arte de escribir con tanta, velocidad como se habla, cuyo .establecimiento está de orden de S* M. bajo la protección de la Real sociedad económica matritense, :y ¡al cargo;deí profesor D. Francisco de Paula Martí. Los que quieran.¿ísfrutgt ide esta enseñanza* que es gratuita., deberán saber leer y escribir’jry acuditáti á,.matricularse desde hoy hasta el dia 2.de Setiem bre a la Real escuela, de taquigrafía sita, en la calle del Turco, en la casa que fue almacén de cr…</t>
  </si>
  <si>
    <t>Marti, Ramón Vidal y</t>
  </si>
  <si>
    <t>Ramón Vidal y Marti</t>
  </si>
  <si>
    <t>…número D. Tomas María Manrique, se cita, llama y enaplaza por término de 30 días, contados desde el de esta publicación, á D. Juan Angel de Aramburu, á los Sres&lt; Rully y Coll, y á D. Ramón Vidal y Marti, últimos te nedores de tres vales Reales, uno de 150 pesos de Enero de 1808, núm. 2397785, y los otros dos de 300 pesos de Mayo de 1808, núms. 435473 y 452215, los que se hallan retenidos por reclamación de D. Martin Josef de Larrañaga, vecino de Ja villa dé…</t>
  </si>
  <si>
    <t>…D. Tomas María Manrique, se cita, llama y emplaza por término de 15 días, Contados desde el en que salga en la gaceta, á D. Juan Angel de Aramburu, á loá Señores Rulli y Coll, y á D. Ramón Vidal y Marti y D. Pedro Martin de Triarte; últimos tenedores de cuatro vales Reales , dos de 150 pesos de Enero de 1808, números 239778 y 304401 ; y los otros dos de 300 pesos de Mayo de 1808 , nú meros 435473 y 452215: l°s ^ue se hallan retenidos por reclamación de D. Mar tin Josef de Lar…</t>
  </si>
  <si>
    <t>Martilla, Antonio Garcés de</t>
  </si>
  <si>
    <t>Antonio Garcés de Martilla</t>
  </si>
  <si>
    <t>…mando. Asi me ló prometo. ' Lo comunico á ,V. para su conocimiento, gobierno y.¡cumplimiento en la parre que le corrdsponde ; advirtiéndole que' he hombrado -ál; mariscal de campo D. Antonio Garcés de Martilla para comandante general del cófdon de levante, y al brigadier ;D. Antonio.-Gamps para el de poniente. 1 - ' . Dios guarde á V. muchos - anos: ; Valencia 6&gt; de Julio dé 1818. = Josef 0-Donell. = Cosme de Teresa, secretario.” Jístado general comprensivo de das…</t>
  </si>
  <si>
    <t>Martin</t>
  </si>
  <si>
    <t>…* das para las antecedentes se les acerquen en mérito con too rs. vn. . 8.®* Una medalla de plata de primera clase y un egemplar de la expresa da obra Espíritu de 1a Biblia por el abad Martin! es ei premio destinado á ca da una de las seis niñas, que no pasando de la edad de i¿ años sean mas so-? bxesalientesenel texto y explicación de la doctrina^ cristiana por el catecismo</t>
  </si>
  <si>
    <t>…za con 50 caballos de Sierragorda, inclusos 10 realistas fieles de esa ciudad que mandaba el alférez Don Ignacio Maza Riva, y 40 infantes del regimiento de Zaragoza al . mando del teniente D. Martin, $antistéban. El resultado de esta gloriosa acción ha sido dejar en el campo 2$ muertos contados, y tres prisioneros heridos, que previos los auxilios cristianos rfüe¡rpn. fusilados en Apaseo. .Se les tomaron 26 caballos ensillados, ocho fusiles’,: cuajti;pt.…</t>
  </si>
  <si>
    <t>…erías,de Sanz, calle de las Carretas, y de Ranz, calle de la.Cruz; en Sevilla^en la de Reselló; en Granada en,1a de Aguila^ y en VaUadplid en casa .del catedrático de humanidades. D. Martin de l,a Fuentp. EN LA IMPRENTA REAL.</t>
  </si>
  <si>
    <t>Martin, Antonio</t>
  </si>
  <si>
    <t>Antonio Martin</t>
  </si>
  <si>
    <t>…as litorales del Mediterráneo la circular siguiente: ,,Es pro-bable crucen por el Mediterráneo para sus respectivos destinos la polacra fran cesa nombrada la amable Afortunada, su capitán Antonio Martin, que ex puso dirigirse á Marsella; la goleta inglesa Duque de Suford, su patrón Jor ge Cuglioze, para Génova, y otra goleta de la propia nación nombrada Solfy ó la joven Tétis, patrón Juan Clemente, con cargo de cera para Liorna y Ñapóles. Estos tres buques h…</t>
  </si>
  <si>
    <t>Martin, Cristóbal</t>
  </si>
  <si>
    <t>Cristóbal Martin</t>
  </si>
  <si>
    <t>…la Real academia de ciencias naturales y artes de esta ciudad én el dia 6 del corriente ocupó el 'turno literario la dirección de. matemáticas y mecánica, y por esta el presbítero D. Cristóbal Martin, socio de número de la misma Real academia, disertando sobre las mejoras que pueden hacerse en la construcción de los carros en beneficio de las ope raciones de la agricultura y .del comercio. Después de haber hecho análisis del mecanismo defcarro!; patentiza…</t>
  </si>
  <si>
    <t>Martin, Domingo S.</t>
  </si>
  <si>
    <t>Domingo S. Martin</t>
  </si>
  <si>
    <t>…D. Ig nacio Romaza , abordó celebrar un certamen público; en ta sala consistorial el dia 25 de M$rgoc.á la. hora de las siete de.su tarde, presidido por los se ñores alcalde mayor D. Domingo S. Martin y alcalde ordinario por el esta do noble D. Hemetérip Ibar Navarro, y con asistencia del cabildo eclesiás tico, mariscal d^tíantpp^ljSr... Dk,Joaquín de Mdntemayor , y Sres. co ronel y oficiales del regimiento de infantería de Vitoria. Colocados todos |&gt;or su…</t>
  </si>
  <si>
    <t>Martín, Josef María</t>
  </si>
  <si>
    <t>Josef María Martín</t>
  </si>
  <si>
    <t>…allea D¿ Pedro Eernández y Don: Antonio Negra, que fueron los primeros en ocupar las posiciones del enemi"? go: al teniente coronel capitán Di Domingo* Antonio PcÉa, y al teniénte Don Josef María Martín, que suspensos de sus empleaste hallhroh stn destinor-pelr primero estuvo siempre á mi lado , y sobre * los fuegos comunicó1 mis órdenes? en los diferentes puntos á, que le mandé; con oportunidad,: y el * segunda se?</t>
  </si>
  <si>
    <t>Martin, Juan</t>
  </si>
  <si>
    <t>Juan Martin</t>
  </si>
  <si>
    <t>…J 1000 idem. En ídem. i f ¡ : r r A K T I C lU .1. O ’DÍ O F I C I O. El Rey nuestro Señor, queriendo trasmitir á la posteridad la memoria del valor, patriotismo - y "fidelidad de'D. Juan Martin el Empecinado, se ha servido hacer extensiva á sus sucesores la gracia de que usen el renombre de T Empecinado cofi «jué en la últinia gloriosa revolución contra los fraóceses se idistinguian ;en*Éspáña,'fuera de élía íós amantes del Rey’ y dé la patria, que…</t>
  </si>
  <si>
    <t>Martin, Juhñ</t>
  </si>
  <si>
    <t>Juhñ Martin</t>
  </si>
  <si>
    <t>…eniente corregidor dé está muy heroica villa, se cita y emplaza á D. Joaquín Macias, tenedor de un vales de 300 pesos de i.° de Setiembre de 1809. señalado con el número: 28137, á Don Juhñ Martin, tenedor de otro del mismo valor y creación, señalado con el número 25610, á D. Manuel Maatre y S. Román , que lo es de otro del propio valor y crea ción, señalado con el número 33929, á D. Alfonso Fernandez Cuenca, que lo es de dos de á 300 pesos cada uno de…</t>
  </si>
  <si>
    <t>Martin, Vicente Remon y S.</t>
  </si>
  <si>
    <t>Vicente Remon y S. Martin</t>
  </si>
  <si>
    <t>…o racionero, y esta media ración á D. Manuel de Arteaga y Bazan: para otra ración de la catedral de Trujillo, que ha resultado vacante por fallecimiento de D. Juan Diego Teruel, á D. Vicente Remon y S. Martin; y últimamente para una.media ración de la catedral de la Puebla de los Angeles, Vacante por muerte de D. Juan Angel García Paredes, á Doii Tiburcio María Cárcamo. Estando acordado por la dirección general del Crédito público, con arre glo al Real decreto de…</t>
  </si>
  <si>
    <t>Martínengo, Pedro</t>
  </si>
  <si>
    <t>Pedro Martínengo</t>
  </si>
  <si>
    <t>…' ARTICULO I&gt; F. OFICIO. ' Real cédula de S. M. y Señores del Consejo. Don Ffrnandq vii por la gracia de Dios, Rey de Castilla, de Lson’&amp;Cí A lejs del mi Consejo., sabed: Que por D. Pedro Martínengo y compañía fce «presentó á ,mi augusto Abuelo una propuesta en Octubre de 1769 ofreciendo emprender la grande; obra de hacer á su costa y expensas un ca nal navegable en el rio Manzanares desde el puente de Toledo hasta el rio Jarama, y desde allí seguir la,n…</t>
  </si>
  <si>
    <t>Martínez</t>
  </si>
  <si>
    <t>…les servia de guia, y les quitó 27 fusiles, 4 escopetas y otras armas y efectos. „ Por este útil servicio dice el enunciado virey que ha concedido el grado de coronel al teniente coronel Martínez, y el inmediato en su clase al tenien te veterano D. Francisco de la Hoz y al de milicias D. Josef Guadalupe Santos. ,,Que una partida , que se había separado del faccioso Perry al cargo del malvado español Vicente Travieso, cayó en manos del capitán D. Lucia…</t>
  </si>
  <si>
    <t>Martinez''parasqué, Josef María</t>
  </si>
  <si>
    <t>Josef María Martinez''parasqué</t>
  </si>
  <si>
    <t>…n una cueva que él sabia, en donde también se hallaba el rebelde coronel Ignacio Samaniego. ,, Ai. amanecer del 9 emprendí mi marcha al expresado paso: lueígó qué* llegué envié al capitán D. Josef María Martinez''parasqué?cón una partida* de cazadores y granaderos pasase la barranca y sorprendiese la CÚeVa, ’ fó qíié^ verificó con ia mayor prontitud, cogiendo en ella al coronel SUmaniegor com</t>
  </si>
  <si>
    <t>Martínez, Amonio</t>
  </si>
  <si>
    <t>Amonio Martínez</t>
  </si>
  <si>
    <t>…es, con los cuales llegó al presidio de la bahía del Espíritu Santo, á cuyo comandante intimó la rendición; y noticioso de esta ocurrencia el gor bernador de la provincia teniente coronel D. Amonio Martínez, que con no caballos había salido á hacer un reconocimiento sobre Matagorda, atacó á los facciosos; que de 44 que eran dio muerte á 26 incluso Perry', que viéndose mal herido acabó de matarse á sí propio de un pistoletazo, y el mayor Gonton, aprehendió 14 tam…</t>
  </si>
  <si>
    <t>Martínez, Antonio</t>
  </si>
  <si>
    <t>Antonio Martínez</t>
  </si>
  <si>
    <t>…ación de mi mando. ,,Dios guarde á V. E. muchos años. Cuau ti dan Abril 25 de i8i8.=Excmo. Sr. = Pedro de Antoneli, = Excmo. Sr..virey D. Juan Ruiz de Apodaca.” BE JAR. Oficio del coronel D. Antonio Martínez. ,, Excmo. Sr. : Quedo enterado de cuanto V. E. se sirve prevenirme en oficio de 9 del número último, en el que me acompaña dos egempiares del feliz acontecimiento de la tOma.del cerro de; S. Gregorio; y por tan justo y plausible motivo, después de haber pasa…</t>
  </si>
  <si>
    <t>Martínez, Antonio María</t>
  </si>
  <si>
    <t>Antonio María Martínez</t>
  </si>
  <si>
    <t>…ranada, ál teniente coronel D. Juan Vicente de Salazar , secretario del gobierno y ca¿ pitanía general de Puerto Rico; y el de Tejas, en las provincias internas de Nueva-Espáña, á D. Antonio María Martínez, teniente coronel del segundo regimiento de infantería de Zamora* El Rey se ha servido nombrar para cuatro plazas de oidores de la Real audiencia de Valencia, vacantes por jubilación de D. Manuel de Villafañe, D. Ramón Gíraldo, D. Lorenzo Villanuevay D. Josef…</t>
  </si>
  <si>
    <t>Martínez, Bartolomé</t>
  </si>
  <si>
    <t>Bartolomé Martínez</t>
  </si>
  <si>
    <t>…y del cabo primero Elias de S. Vicente. „Dios guarde á V. E. muchos años. Pueblo de Apurito Setiembre 4 de 1817. = Sebastian de la Calzada. = Excmo. Sr. D. Pablo Morillo.” 2,° Del capitán D. Bartolomé Martínez al Sr, capitán ¿eneral interino. ,,E1 dia 2 del corriente, á las tres de la tarde, tuve aviso que había lle gado á Tocoragua un grupo grande de caballería enemiga, por lo que inme diatamente envié i reconocer para salir á batirlos; pero no habiéndose para do…</t>
  </si>
  <si>
    <t>…fe. == Es copia.=Morillo.” El mismo general D. Pablo Morillo remite al Excmo. Sr. Secretario del despacho de la Guerra, con fecha de 10 de Abril, copia del parte que le ha dado el capitán D. Bartolomé Martínez, comandante del cantón de Orituco, en Venezuela, el cual es como sigue *. ,,Excmo. Sr.: Hallándose, como tengo anunciado á V. E., el rebelde1 Mauricio Ledesma y otros cabecillas con un grupo fuerte de caballería entre estas inmediaciones y las de Camatagua es…</t>
  </si>
  <si>
    <t>Martínez, Felipe</t>
  </si>
  <si>
    <t>Felipe Martínez</t>
  </si>
  <si>
    <t>…o; y mis ayudantes de campo el capitán graduado D. Juan Basave, el alférez de na vio de la Real armada D. Juan Sanjurjo Montenegro, y el primer ayudante del Real cuerpo de cirugía D. Felipe Martínez, que atendió á su obligación con un zelo extraordinario. Asimismo hace el comandante los mayores elogios de la constancia he roica de la tropa. Razón de los muertos, heridos y contusos que tuvo la división del Sr. Ar miñan en la acción de Peotillos. Regimient…</t>
  </si>
  <si>
    <t>Martínez, Félix Andrés Benitez</t>
  </si>
  <si>
    <t>Félix Andrés Benitez Martínez</t>
  </si>
  <si>
    <t>…cante por traslación de D. joaquin Ruiz de Arechavaieta á la .de Alará, á D. Manuel Prudencio Sobrino: para la de las Nuevas poblaciones de Sierramorena, su capital la Carolina, á D. Félix Andrés Benitez Martínez, alcalde mayor de Leganés: para esta vara á D. Joaquin Beneito y Beneitorpara la de Sta. Cruz de Múdela á D. Josef Maceda : para la dé Mansiila de las Muías á D. Tiburcio Eguiluz : para la de Belalcázar á D. Juan Maríá Domínguez: para la del Viso, en la Manch…</t>
  </si>
  <si>
    <t>Martínez, Félix Domingo</t>
  </si>
  <si>
    <t>Félix Domingo Martínez</t>
  </si>
  <si>
    <t>…D. Juan V ícente Perez 2, D. Antonio García 2 , D. Pedro Castillo 4, D. Josef Antonio Rasquin 5 , D. Francisco de Iturbe 10, D. Ramón de Azpurua 5 , Dv Miguel Rabelo Alcántara 16, D. Félix Domingo Martínez 2 , Don Juan: Esteban de dEehezuria 20, D. Bernardo Pénelas 20, T). Antonio Na;yarro 20, D. Josef Antonio y D. Manuel María Díaz 16 ¿ D. Agustín Espi no y D. Juan Ribero 20 , D. Félix López 2c, D. Juan Nepomuceno Be llo 30, D. Víctor Lerin 15 , D. Juan Josef…</t>
  </si>
  <si>
    <t>Martínez, Francisco</t>
  </si>
  <si>
    <t>Francisco Martínez</t>
  </si>
  <si>
    <t>…n , partido de la Real Carolina £ D. Francisco Samartin , á los ba ños y aguas minerales de la villa de Fortuna, en Murcia; el de las aguas de la Fuente de -Loro , en Extremadura, D. Francisco Martínez, á las de NavalPino, en los montes y, .provincia de Toledo, y-el de los baños de Calderas,</t>
  </si>
  <si>
    <t>Martínez, Ignacio</t>
  </si>
  <si>
    <t>Ignacio Martínez</t>
  </si>
  <si>
    <t>…re aquella proyincia y [a del Potosí, donde exbtia un desta camento de 50 realistas, del cual se apoderó el dia 2 de Setiembre, muriendo en la defensa el comandante de aquel punto teniente D. Ignacio Martínez y algunos otros, en cuyo número se comprende el capellán de la hacienda, á quien los malvados dieron muerte en la sacristía y á otros; en la: misma ; iglesia. • 4 • . \f „El pérfido Mina robó lps ganados, eféctps y cuanto encontró en dichaj finca, y llevándos…</t>
  </si>
  <si>
    <t>Martínez, IX Ignacio</t>
  </si>
  <si>
    <t>IX Ignacio Martínez</t>
  </si>
  <si>
    <t>…isfacción. ,, Dios guarde á Vmd. mochos años. Tecalitlam Marzo 9 de 1818. 5= Juan Antonio Solórzano. =Sr. teniente coronel y comandante D. Domingo Cla varme.” Parte extractado del comandante IX Ignacio Martínez. „ A las 12 y medía del diaó del corriente intentó el rebelde é inicuo Gor diano Guzman sorprender esta piaza con toda la reunión de gavillas de Tierra-</t>
  </si>
  <si>
    <t>Martínez, Joaquina</t>
  </si>
  <si>
    <t>Joaquina Martínez</t>
  </si>
  <si>
    <t>…á Doña Manuela Menendez Marques por haber presentado igual mente otras 12 onzas hiladas., torcidas y blanqueadas por su mano en aque llos momentos dispensados ai recreo: 40* rs. á Doña Joaquina Martínez de la Pedrera por seis madejas de hilado de la mayor delicadeza : 40o rs; á Doña Teresa Figares, maestra de blondas y encajes de la escuela establecida en la Real casa del hospicio de esta ciudad, y á Ramona Fernandez, María Igle sia, Josefa y MaríaJElquezaba…</t>
  </si>
  <si>
    <t>Martínez, Josef</t>
  </si>
  <si>
    <t>Josef Martínez</t>
  </si>
  <si>
    <t>…s orillas del rio Sotero, la emprendí con cuantas medi das, de precaución fueron adaptables ; y siendo una de ellas el haber dejado al tiempo de mi marcha emboscado al subteniente D. Josef Martínez con 50 hombres, y prevención de que ál cuarto de hora de mi salida verificase la suya, marchando siempre por los montes con el objeto de ocultarse al en^migo, y que en caso de advertir me atacasen en algunos de los pasos redo— blase'su marcha á fin de cojerlo…</t>
  </si>
  <si>
    <t>…nilla, Don Juan Antunez, D- Juan Bellido, D. Manuel de la Serna , D. Rafael Grana dos, príncipe de la doctrina cristiana, y D. Martin Saenz, de Lebrija: Don Fraiieised1 González y D. Josef Martínez , de Sanlucar de Barrameda : D'. Josef Moreno, D. Manuel Felipe Caballero, D* Gaspar Angulo, D. Josef Gó mez Hormigo y D. Francisco Rodríguez, de Jerez : D. Josef Auñon, de Mo ren : D. Juan Aguado, de las Cabezas: el hermano Josef de la Cruz Menacho, de Puert…</t>
  </si>
  <si>
    <t>…quel deja á D. Diego Martin de Villodres: últimamente la asesoría del gobierno y presidencia de Goatemala, vacante por ascenso de D. Joaquín Ibañez á oidor de aquella audiencia, á D. Josef Martínez de la Pedrera. Resumen de las ultimas noticias de sanidad pública. En las provincias litorales de la península y sus islas adyacentes se goza una constante buena salud. ; En Tánger sigue la peste su curso ordinario/creciendo la mortandad, que debe haber llega…</t>
  </si>
  <si>
    <t>Martínez, Josef Antonio</t>
  </si>
  <si>
    <t>Josef Antonio Martínez</t>
  </si>
  <si>
    <t>…. Salvador de Medina, y el de la Corona D. Francisco González, se distinguieron en sumo grado, como igualmente los de caballería del Rey D. Francisco Nuñez, D. Sebastian Barrondo, D. Josef Antonio Martínez,' D. Félix Solórzano y D. Felipe Ramos, que fueron incansables en matar ene migos , como el teniente D. Benito Franco y el alférez D. Miguel Chaparro, todos los que se han hecho acreedores á que V. E. tenga la bondad de elevar su mérito al conocimiento de S.…</t>
  </si>
  <si>
    <t>Martínez, Josef María</t>
  </si>
  <si>
    <t>Josef María Martínez</t>
  </si>
  <si>
    <t>…Ramos, „Gon arreglo á las instrucciones de V. S. j reforzando la expedición de mi mando con lá‘tropa del destacamento de Huatusco al mando de su co mandante el espitan de Castilla D. Josef María Martínez , emprendí el ó mi marcha con dirección al pueblo de Comapa, punto que facilitaba atacar cual quiera de los cantones enemigos con prontirud, ,, Las noticias que adquirí sobre hallarse enteramente impracticable este camino, me hicieron variar de proyecto decid…</t>
  </si>
  <si>
    <t>Martínez, Juan</t>
  </si>
  <si>
    <t>Juan Martínez</t>
  </si>
  <si>
    <t>…14 soldados mas; del batallón de Clarines 5 soldados muertos, y el te niente D. Felipe Mor fe y 13 soldados heridos; de. las compañías de Cam pano 2 soldados muertos, y herido el teniente D. Juan Martínez y ó soldados. „No puedo menos de recomendar á V. E.; el valor y resolución de la oficialidad y tropa de mi mando, y con particularidad del mérito, valor y* conocimientos militares del comandante del batallón de la Reina D. Eugenio . Ajana , del ayudante mayor…</t>
  </si>
  <si>
    <t>Martínez, Juan López y</t>
  </si>
  <si>
    <t>Juan López y Martínez</t>
  </si>
  <si>
    <t>…illo ; D. Pedro Villar y Abello \ Don Diego Fernandez Carcelen; D. Antonio Lardin y Pinto; D. Antonio Fer* nandez Carcelen; D. Francisco Osorio y Bernal; D. Manuel Marín y Ra mos; D. Juan López y Martínez, y D. Mariano dé la Vega y Romero. Quien quisiere comprar una casa sita eñ el lugar de Fuencarral, y calle que lia— man dé'Juan Pardo , que tiene de sitio *887^ pies cuadrados superficiales, tasada últimamente en 10657 rs. t y un pajar existente en las calles…</t>
  </si>
  <si>
    <t>Martínez, Manuel</t>
  </si>
  <si>
    <t>Manuel Martínez</t>
  </si>
  <si>
    <t>…el castillo de la isla de la Cabrera, una de las Baleares, á D. Francisco Guillen, alférez del regimiento de dragones de Numancia: la primera ayudantía de la plaza de Alcántara al teniente D. Manuel Martínez, subteniente del regimiento de in fantería de la Princesa: la tercera de la de Ceuta á D. Antonio Toderin!, subteniente del regimiento de infantería de Irlanda; y la del castillo de Mon zón , .en Aragón, á D. Juan Piqueras, subteniente del de infantería de Se…</t>
  </si>
  <si>
    <t>Martínez, Miguel</t>
  </si>
  <si>
    <t>Miguel Martínez</t>
  </si>
  <si>
    <t>…adier D. Francisco Tomas Morales. ■ • El conde de la Granja 6 pesos, D. Pablo Echezuria 10, D. Francisco de Azpurua 20 , D. Juan Santos de Larrazabal 5, D. Josef Jesús Goenaga 10, D. Miguel Martínez 5, D. Pedro Aguerrebere 5, D. Domingo Segura 5 , Don Bartolomé Echenique 5 , D. Toribio Espinosa 20, D. Juan Plá 5 , D. Lo renzo Treillan- 5 , D. Francisco Espelosin 10, D. Miguel Portillo 5 , Don Juan: Hernández 6 , D. Josef Baez 2 , D. Josef Arrese 4, D. Fr…</t>
  </si>
  <si>
    <t>Martínez, Pablo</t>
  </si>
  <si>
    <t>Pablo Martínez</t>
  </si>
  <si>
    <t>…de la gavilla , tomando conocimiento de su derrotero, seguí el mió por el camino mas usado hasta S. Miguel Amuco, donde mi descübierrá, com puesta de 20 dragones á las órdenes del teniente D. Pablo Martínez, avistó una apartida de 25 rebeldes, á la cual persiguió con empeño, logrando matar 2.y hacer otros tantos &gt;prisioneros, tomándeles 2 ' carabinas y varios cab*allos ensillados, que abandonaron por ocultarse en los bosques. ,, Instruido por uno de los aprehend…</t>
  </si>
  <si>
    <t>77$ de la ventaja de la posición, fuerza y -ardltería: al teniente d(8 dragones- fieles» del Potosí D. Pablo Martínez,, que mandó la reserva de 2o: hambres-, por stí valor bieir i acreditad©, puntualidad y eficacia en todo ; al alférez- D. Sebastian Montealvo por iguales circunstanciasal subteniente de Sto. Domingo.D. Pe dro Cortés por las mismas; ai facultativo D. Manuel Gu…</t>
  </si>
  <si>
    <t>Martínez, Ramona</t>
  </si>
  <si>
    <t>Ramona Martínez</t>
  </si>
  <si>
    <t>…mprarla acudirá en el término de 24 dias en esta corte á D. Juan Antonio del Campo, plazuela del Cordon, niím. 1 , casa de Alfaxo, cuarto segundo de la izquierda, y en Salamanca á Doña Ramona Martínez, ca lle del Sordo Lodo, en la posada. Se halla vacante la plaza de catedrático de latinidad, retórica y prosodia de lo# Reales estudios de la villa de Medina del Campo, en la provincia de Valladolid, cuya dotación es la de 400 ducados, pagados de fondos públi…</t>
  </si>
  <si>
    <t>Martínez, Vicente</t>
  </si>
  <si>
    <t>Vicente Martínez</t>
  </si>
  <si>
    <t>…ios de 3200 rs. cada uno. Los cirujanos que aspiren a este destino dirigirán sus pretensiones documentadas en el término de 15 días, contados desde la publicación de este aviso, á D. Vicente Martínez, quien les instruirá de las condiciones bajo las cuales deberá celebrarse la escritura. , j EN LA IMPRENTA REAL,</t>
  </si>
  <si>
    <t>…ros óoo pesos. Los cirujanos que aspiren á este destino dirigirán sus pretensiones docu mentadas en el término de 15 días, contados desde la publicación de este aviso, al referido Sr. D. Vicente Martínez, quien les instruirá de las condiciones bajo las cuales deberá celebrarse la escritura. Conocimiento de Jesucristo.: 4 tomos en 8.°, en los cuales se da á conocer á Je sucristo, considerándolo: i.° desde la eternidad hasta el último misterio que obró en su ca…</t>
  </si>
  <si>
    <t>…de Octubre de 1818. = A D. Juan Estéb.án Lozano de Torres.” ' ' . ‘ ' - ; 1Í * J ’ ‘ *• ' El Rey nuestro Señor se ha servido conferir á su segundo médico de Cá mara con egercício D. Vicente Martínez la plaza de primero,, que ha resulta do vacante por. fallecimiento de,D. Ignacio de Jáuregui, con l£ dotación y en los mismos términos que la obtuvo este., 4 . . En virtud de Real orden se vende á publica subasta una hacienda propiq de S. M., situada en la ju…</t>
  </si>
  <si>
    <t>Martinl</t>
  </si>
  <si>
    <t>…ismo de Ripalda, y leer con propiedad; con tal que su edad no sea mayor de ocho años, con una medalla de pla ta de tercera clase, y la obrita titulada Espíritu de la Biblia por el abad Martinl. 6.° . La educación moral de las señoras de cuyas virtudes pende en gran parte el arreglo de las costumbres públicas no ha sido nunca indiferente á este Real cuerpo, ni debe serlo á ningún amante del país. A efecto pues de promoverla se ofrecen 160 rs. vn. á…</t>
  </si>
  <si>
    <t>Martm</t>
  </si>
  <si>
    <t>…e t8io; y por auto del Sr. D. Angel Fernandez de los Ríos , del Consejo de S. M., primer te niente de corregidor dé esta muy heroica villa , refrendado del escribano de su núme ro D. Martm¡ Santin y ^Vázquez, se ha mandado llamar y emplazar y como se. hace, á, las personas qué por-cualquiera título se hallen con derecho á los bienes pertene cientes á dicho Josef Fernandez Portones, para que acudan á deducirle en su juzgado dentro del preciso y…</t>
  </si>
  <si>
    <t>Maruri, Pablo</t>
  </si>
  <si>
    <t>Pablo Maruri</t>
  </si>
  <si>
    <t>3S7pronuncio una oración laqtíe mánlfestó la necesidad de una ’buena edu cación para la prosperidad dé los ,Estados, En¡ seguida ,el de, igual clase .Don Pablo Maruri propuso en úo breve 1 discurso ,las -materias que se.babian de tratar; é inmediatamente D.i Tibureiq Egida&gt; deíedad de n años , salió á la palestra j y fue preguntado poj: so,condiscípulo. Di'Josef de. Sta, María* de edad de 14 añosresolviendo cuantas propósi…</t>
  </si>
  <si>
    <t>Massilion, Juan Bautista</t>
  </si>
  <si>
    <t>Juan Bautista Massilion</t>
  </si>
  <si>
    <t>…recio es el de ió rs. en rústica: se han rebajadoras, para que con mas facilidad sé pueda propor cionar una obra tan interesante Vtjue.tanto fruto Ha. hectíb. • V Sermones deMlmo. Sr. D. Juan Bautista Massilion , -obispo de/Glermont, tradu cidos al español por. D. Pedro Díaz Guereñu. El mérito de esta obra es bien conoci do de todos los sabips'orádores , por ió que consideramos superfluo hacer su elogio; comprende los sermones de adviento , misterios , cuaresma , pa…</t>
  </si>
  <si>
    <t>Massó, Manuel</t>
  </si>
  <si>
    <t>Manuel Massó</t>
  </si>
  <si>
    <t>…yes, por cuyo medio podrán los labradores trasportar lo relativo á la agri cultura, con ahorro á lo menos de la mitad de fuerzas. Cádiz 28 de .Mayo. La goleta española Juanita, su capitán D. Manuel Massó, procedente de Puerto-Rico;, fue anteayer perseguida por una goleta de gavias, que le dio caza por espacio de 14 horas; y no obstante que en la noche le hurtó el rum be», amanecieron en calma á poca distancia una de otra; pero habiendo ar mado sus remos, pudo…</t>
  </si>
  <si>
    <t>Mateo, Ramón</t>
  </si>
  <si>
    <t>Ramón Mateo</t>
  </si>
  <si>
    <t>…es los premios que iban á distribuirse, los cuales se lisonjeaba les estimularían á continuar dedicándose á un estudio tan útil.' Después de ha ber expresado al catedrático el Dr. D. Ramón Mateo , capitán del Real cuer po de ingenieros, cuan gratas le eran sus tareas, se anunció por el secretario que á D. Eusebio Navarro se le habia adjudicado el primer premio, que con sistía en una medalla de oro con los bustos al frente de SS. MM , y ai reverso Jas…</t>
  </si>
  <si>
    <t>Mathei</t>
  </si>
  <si>
    <t>…nerable sierva de Dios María Clotilde Adelaida Xaviera, de Fran cia, Reina de Cerdeña, y hermana de los Reyes de Francia Luis xvi y Luis xvni. La discusión se tuvo á presencia del cardenal Mathei, decano del sacro Colegio, y del cardenal deila Somaglia, vicario de S. S.; y resul tó una votación unánime y afirmativa. En consecuencia esta Princesa será declarada Santa en el próximo consistorio. ESPAÑA. México 2$ de 'Noviembre. Continuación de los partes…</t>
  </si>
  <si>
    <t>Matías</t>
  </si>
  <si>
    <t>…o autor. Gramática francesa para uso de la nación española, sacada de los mejores auto res franceses, particularmente-de los de la academia francesa; divídese en tres partes, por 'D. Matías dé Rueda- y'León: un tomo én 4.0 Véndele á T6 rs. en rustica y 20 en pasta en la librería de í&gt;áz , rfrentet a las gradas de S* Felipe. : - - : Historia-de la guerraEspaña contra Napoleón^Bonaparte i escrita y publicada de orden de S. M. por la tercera secció…</t>
  </si>
  <si>
    <t>…emente ia evacuación inmediata del territorio francés, , ' • ■ ESPAÑA. ' v México 22 de. Abril. i Continuación de los partes de Nueva-Esfaña. VALI ABOLI». * f Oficio del coronel y comandante D. Matías ^Martin y Aguirre. ,,Excmo. Sr.: Con fecha 10 del presente me da parte el teniente co ronel D. Miguel Barragan que el 31 del próximo pasado derrotó en Ja hacien da de Tomendan la gavilla del traidor Cniviliny , con muerte de 60 rebeldes, 12 prisioneros, y com…</t>
  </si>
  <si>
    <t>…( Se continuará.) Por providencia del Sr; D. Angel Fernandez de los. Ríos, del Consejo dé S. M.,. teniente corregidor de esta muy heroica villa, está, declarado que para, cumplir. Don Matías. Pecina, con. las, funciones del Sr; D. Juan Agustín deBaquijano „ conde dé</t>
  </si>
  <si>
    <t>Matienzo, Josef Martínez</t>
  </si>
  <si>
    <t>Josef Martínez Matienzo</t>
  </si>
  <si>
    <t>…eroica villa, y escribanía del número de D. Anselmo Ordonez, se halla instancia pendiente en razón á la pertenencia de los cortos.bienes quedados por el fallecimiento intestado de D. Josef Martínez Matienzo, vecino de esta corte, que falleció en 18 de Diciembre de 1812, los que se reclaman por sus sobrinos.carnales D. Andrés Cantero y D. Pedro Madenzo, vecinos del va lle de Carranza; y á efecto de proceder con el debido conocimiento en este asunto, y que no se c…</t>
  </si>
  <si>
    <t>Matrit, Isidori</t>
  </si>
  <si>
    <t>Isidori Matrit</t>
  </si>
  <si>
    <t>…riano Lope González, impresa en 1788. Véndese á 3 rs. en papel en el almacén de la imprenta Real. . Selectae é veten testamento historiae, ad usum eorum qui regio in archigimnasio D. Isidori Matrit. latinae línguae rudimentis imbuuntur. Accedit sinopsis vitae Jesu Christi, beatae Maríae Virginis, et Sanctorum Apostolorum. ««.Selectae é profanis scriptoribus historiae &amp;c.: editio quinta matrítensis. La buena acogida que juntamente ha merecido en España e…</t>
  </si>
  <si>
    <t>Mátrlla, Pedro</t>
  </si>
  <si>
    <t>Pedro Mátrlla</t>
  </si>
  <si>
    <t>…\ v í,Q,ItL... i * Q : O&gt; E.'kj O{ F••*■•'**ICI O, Por Real resolución- dfe-xl^'Óél presenté mes, á consulta del Consejo supre-r mo de la Guerra, se ha*'-servido S. M-. concedér á D. Pedro Mátrlla, vecino:' de la ciudad de Orihuela, .y practicante deTfarmacía, que ha sido de las boti cas militares de campaña en la última guerra, el fuero militar y uso de uni forme de laclase1 en que sirvióqúe; le corresponde comb comprendido en la circular de 19 de Jun…</t>
  </si>
  <si>
    <t>Matwef</t>
  </si>
  <si>
    <t>…/habia estado en Katherinodar, capital del acantonamiento de las tropas de Tschernomórsk* Acompañaban á S. A. I. el conde de Langeron* gobernador militar ^Chersort , y el teniente coronel Matwef, hetmán de las tropas de Tschernómorsk; dónde se reunieron los Príncipes de las diaciones con comitiva de unas 100 personas para cumplimentar á S.A. I. , é hicieron algunas maniobras militares según su modo de guerrear. Después visitó el gran duque las orilla…</t>
  </si>
  <si>
    <t>MaViano</t>
  </si>
  <si>
    <t>…ica en su segundo parte. „ Dios guarde á V. E. muchos años. Jalapa Abril 5 de 1818. = Excmo. Sr. s= Ciríaco de Llano. = Excmó. Sr. virey I). Juan Ruiz de Apodaca.” *&lt;., Partes del comandante D. MaViano1* Hernández.1 ’ 1 • • • ,,A jas 9 de la noche anterior llegó aviso del administrador de la hacienda del alto del' Lucero D. Manuel .Sta., María, .que mandó el parte verbal co&amp;;</t>
  </si>
  <si>
    <t>Maxwell</t>
  </si>
  <si>
    <t>…e Seine, núm. 8, se ha puesto en venta elviagé delcapitáo &amp;íaxive'l¿ a la China y al mar Jístiartllo; ún volúnien en 8.pconFcinco estampas. Esta relación es del mayor, ínterest el capitán Maxwell, mandaba la fragata que, condujo á los empleados de ía úl tima embajada cerca def imperio chipo. La narración de la arribada de la frar gata á la isla de Sta Elena, y lo ocurrido allí, es uno de los. capítulos mas curiosos de está obra. Como las noticias mas…</t>
  </si>
  <si>
    <t>Mayoli</t>
  </si>
  <si>
    <t>…férez Rueda/ del escuadrón Urbano; el capitán de realista^ de Malioalco D. Juan Zamorategui, que por sus conocimientos prácticos y eficacia ha contribuido al éxi to conseguido; al capitán Mayoli, que ha desempeñado exactamente todas las funciones de ayudante , y al administrador de Jaímolonga Salazar, que con el mayor entusiasmo se decidió á acompañarme , y manifestó mucho valor en la acción. „ Dios guarde á V. E. muchos años. Ocuila Octubre 17 de 1&amp;…</t>
  </si>
  <si>
    <t>Mayoli, Josef</t>
  </si>
  <si>
    <t>Josef Mayoli</t>
  </si>
  <si>
    <t>…les tomaron en la.acción, y en un rancho donde iban á dormir algunas noches, las armas, caballos y efectos que constan en la ad junta lista suscrita por el capitán de Nueva-España D. Josef Mayoli ,que iba haciendo veces de ayudante , de los cuales se han distribuido en la tropa las armas y caballos, y lo demas pienso se venda para repartir su importe entre la misma, si fuere del agrado de V» £., en recompensa de las fatigas que ha sufrido. „ Entre las…</t>
  </si>
  <si>
    <t>Mayoral, Nicolás Antonio Heredero y</t>
  </si>
  <si>
    <t>Nicolás Antonio Heredero y Mayoral</t>
  </si>
  <si>
    <t>…diente, con arreglo á la mente del fundador, parándoles el perjuicio que haya lugar. El sepulcro de las delicias del mundo, escrito en francés por Mr. de la Serre, y traducido por D. Nicolás Antonio Heredero y Mayoral: un tomo en 4.0 impreso en 1792. Véndese á 6 rs. en papel en el almacén de la imprenta Real. Socorros que se han de dar á los envenenados ó asfixiados, y medios propios pa ra reconocer los venenos, y los vinos adulterados, y para distinguir la muerte verda-’…</t>
  </si>
  <si>
    <t>Mazas, Josef Martínez de</t>
  </si>
  <si>
    <t>Josef Martínez de Mazas</t>
  </si>
  <si>
    <t>…das que ha de regar. Otro igual al que pre sente lá mejor memoria de economía rural limitada al término de Jaén, sir viéndole de presupuesto las observaciones del muy recomendable Sr. D. Josef Martínez de Mazas, dignísimo socio que fue de esta corporación, y deán de esta santa iglesia, á quien se debe la obra que publicó bajo él título de Retrato al natural de Jaén y su término; y al que la presente se le dará tam, bien un egémplar de esta obra. Industria y artes. C…</t>
  </si>
  <si>
    <t>Mdling</t>
  </si>
  <si>
    <t>…casos que se presenten de tales quejas, en el modo compatible con la constitución de este pais. Weimar 14 de No viembre de 1817. El 3,0 departamento del ministerio de Estado. “Ii/ conde Mdling” G R A N B R E T A Ñ A. _ . , 1 Londres 21 de Diciembre* Se experimenta grande fluctuación en los fondos públicos, y se cree que muchos capitalistas emplearán los suyos en el préstamo que debe abrirse en Francia. . . Varios buques que dieron la vela para dife…</t>
  </si>
  <si>
    <t>Me, Magdaleno</t>
  </si>
  <si>
    <t>Magdaleno Me</t>
  </si>
  <si>
    <t>…a se vino el comandante de ella contra el ene migo ,t quien., su ponía á Galilea en Silao, y se logró la ventaja de sorprender uno de los cabecilla? de muchísimo nombre , titulado brigadier Magdaleno Me dina, alias el ¡Cojo, que se cogió vivo, habiendo sido muerto su teniente N. Nabor y el asistente ae este. En diferente punto se sorprendió al capitán Juan Hinojpsa y su abstente, de la gavilla de Pió González , y en otro se hicieron 3 prisioneros de la de És…</t>
  </si>
  <si>
    <t>Medel, Cándido Perez</t>
  </si>
  <si>
    <t>Cándido Perez Medel</t>
  </si>
  <si>
    <t>…ala do el dia 28 de Diciembre último para que se verificara en su sala consis torial, se dignó presidirle S. E.; dándose principio .á ios egercicios per un breve discurso que leyó D. Cándido Perez Medel, rector de dicho colegio, reducido á manifestar con mucha oportunidad la antigüedad, objeto, utíli„ dad y variaciones que había padecido este establecimiento. Concluida la lec tura del discurso, se presentaron los 21 colegiales que hay en el dia, acom pañados…</t>
  </si>
  <si>
    <t>Medellin, Cesáreo</t>
  </si>
  <si>
    <t>Cesáreo Medellin</t>
  </si>
  <si>
    <t>…nel D. Anastasio Bustamante; capitán D. Andrés Huete; teniente D. Josef Gaitan; alféreces D. Juan Lesaca y D. Feliciano Guerra. De S. Carlos: ca pitán D. Domingo Ugarte; alféreces D. Cesáreo Medellin y D. Mariano Mondragon. Fieles de S. Luis: capitán graduado de teniente coronel D. Ni colás Zarzosa; teniente graduado D. Patricio Gutiérrez. Nueva-^Galicia : ca-, piran graduado D. Mariano González Laris; alférez D. Mariano Becerra. Realistas de Apan: capitanes D. Joaquín Espinosa…</t>
  </si>
  <si>
    <t>cotí tocto arreglo por varias direcciones aí mando del capitán, teniente y alfé rez graduados D. Juan Andrade, D. Cesáreo Medellin y D. Josef María Ro bles y al mió, dispuse una señal que precediera á la entrada de ella, con el objeto de que todos lo verificásemos á un tiempo para sorprenderla ó batirla, según conviniese. Observadas mis determinaciones con la mayor puntualidad por sus respectivos comandante…</t>
  </si>
  <si>
    <t>Médicis</t>
  </si>
  <si>
    <t>…en los estados de Cerdeña; declarando al mis mo tiempo que ni «1 Gobierno mismo de Ginebra quede exceptuado de esta providencia. ITALIA. "Ñapóles &lt;T de Marzo. Las conferencias del caballero Médicis, ministro de Hacienda de esta cor te, con el cardenal Consalvi en Terracina, han tenido por objeto el arreglo de los asuntos eclesiásticos, pues ya se hacia absolutamente necesario un con venio sobre esta materia, á causa de hallarse vacantes mas de 40 obispa…</t>
  </si>
  <si>
    <t>Medina, Salvador de</t>
  </si>
  <si>
    <t>Salvador de Medina</t>
  </si>
  <si>
    <t>…S. Francisco de Tisnádos á las órdenes del coronel D. Rátael López. En el centró la infantería feñ columna cerrada mandada por el teniente coronel' Capitán de cazadores de NaVerra D. Salvador de Medina. La izquierda lá Ocupaban el primero y* segundo escuadrón de lanceros del Rey á mis órdé-r nes, y la reserva constaba dél tércéro y cuarto escuadrón á las órdenes M capitán graduado de teniente coronel D. Ramón García. La formación de nuestra caballería era l…</t>
  </si>
  <si>
    <t>…inmediación avanzaron al enemigo, como por la serenidad y prontitud con que contuvieron y ordenaron la ca ballería cuando fue rechazada. El capitán de Navarra graduado de teniente coronel D. Salvador de Medina, y el de la Corona D. Francisco González, se distinguieron en sumo grado, como igualmente los de caballería del Rey D. Francisco Nuñez, D. Sebastian Barrondo, D. Josef Antonio Martínez,' D. Félix Solórzano y D. Felipe Ramos, que fueron incansables en matar en…</t>
  </si>
  <si>
    <t>Medrano, Veremundo</t>
  </si>
  <si>
    <t>Veremundo Medrano</t>
  </si>
  <si>
    <t>….Ocaña ; para el corregimiento de A randa de Duero á D^ Francisco Mafia-Sánchez Castilla', alcalde mayor de Plaseocia; pafa esta vara á D. Miguel Calveton; para la de Menasalbas á D. Veremundo Medrano; para la; dé Orel lana de la Sierra á D. Rafael Ahsaldo ; para la de Castellar á D. Pedro Alcántara Corrales, y para la del cíesJtoblado Casa Castillo y Montes dé A lamín á 0. Gabriel Moy a dé la Torre. 4 Por resolución á consultas dél consejo de las Ordenes…</t>
  </si>
  <si>
    <t>Megía, Estéban</t>
  </si>
  <si>
    <t>Estéban Megía</t>
  </si>
  <si>
    <t>…diligencia alguna pará aproximar ésta época, que S. M. desea en beneficio del comercio y de sus vasallos. ¡ El Rey nuestro Señor se ha dignado conceder el uso de la flor de Lis á D. Estéban Megía, intendente de la provincia de Salamanca, en atención al amor y lealtad que ha acreditado tener á su Real Persona y á la augusta ca-* sa de los Borbonesv : : *&gt;'■ ; ^ ' En átenciqñ á los méritos , servicios y literatura de D. Mateó Arévalp, y, i^émargp , se j…</t>
  </si>
  <si>
    <t>Mejía, Manuel</t>
  </si>
  <si>
    <t>Manuel Mejía</t>
  </si>
  <si>
    <t>…8r6, para que dentro de 30 dias , contados desde el i.° del corriente, concurran por sí ó por procurador ante el expresado se.ior juez , ó por el oficio’ qué despacha el escribano D. Manuel Mejía, donde se halla radicado el juicio de abintestato, á exponer en él su derecho y justicia ; apercibidos que en su de fecto se procederá á lo que haya lugar en derecho sin otra citación ni emplazamiento; Por disposición del Sr. D. Joaquín de Almazan, teniente p…</t>
  </si>
  <si>
    <t>Mel</t>
  </si>
  <si>
    <t>…güedad , adelantamientos j excelencias :y demás' circunstancias "de todas las representaciones teatrales de España,' sacados de "autores qué dé ellas han escrito, con un compendio general Mel origen é‘historia dé todos losv teatros én todas las daciones: publícalo Manuel García de Villartueva y Parra, primer actor que'ha sido de las compañías cómicas én los teatros de ésta córte. Va adornada con 4 láminas finas y tina viñeta, y lleva el retrato de…</t>
  </si>
  <si>
    <t>…Cuaderno p.° D. Hugo de Mon eada, el Cardenal Silíceo, Bartolomé de Carranza, D. Antonio Covarrubias y Leiva, Antonio Perez, y D. Josef Pellicer: io. D. Pedro González de Mendoza, D. Mel chor de Macanaz, Fr. Francisco Ximenez de Cisneros, Vasco Nunez de Valboa, D. Josef Carrillo de Albornoz, y Hernando de Alarcon; ix. Juan de Torquemada, Hernando de Soto, D. Rodrigo Ximenez, Sto. Tomas de Villanueva, Diego Gar cía de Paredes, y Francisco Piza…</t>
  </si>
  <si>
    <t>Melcolalde, Melchor</t>
  </si>
  <si>
    <t>Melchor Melcolalde</t>
  </si>
  <si>
    <t>…Primera sección : regimiento de infantería de Zaragoza: el teniente coro nel D- Manuel Factor, el comandante del primer batallón D- Gabriel Rivas, él capitán Dv Juan Postelli, el teniente D. Melchor Melcolalde y los subte nientes D. Ramón Canardo y D. Manuel Fernandez Parrado, muertos 1 el ca pitán E&gt;. Manuel Berdiales , el ayudante mayor D. Pedro María Hgarte, et segundo ayudante D. Miguel Francisco Soler , los tenientes IX Francisco de</t>
  </si>
  <si>
    <t>Melendez, Andrés</t>
  </si>
  <si>
    <t>Andrés Melendez</t>
  </si>
  <si>
    <t>…D. Vicente Ló pez , y grabado por D. Miguel Gamborino , á ^o.^Secontinuará.') En el Consejo supremo de Hacienda y sala segunda de Justicia, por la escribanía de Cámara al cargo de D. Andrés Melendez,. se siguen autos en grado de apelación contra D. Joaquín y D. Florencio Rubio, hermanos, vecinos que fueron de la villa de Hortigosa de Cameros, partido de Logroño, sobré comisó de porción de bayetas de diferentes colores que les aprehendió el resguardo de R…</t>
  </si>
  <si>
    <t>Melgares, Facundo</t>
  </si>
  <si>
    <t>Facundo Melgares</t>
  </si>
  <si>
    <t>…porción de verificarlo, al mismo tiempo que me manifestaba este gefe ser la única que podría ser invadida, pues que sus tropas cubrían las demas á pesar de su larga extensión. „E1 capitán D. Facundo Melgares, comandante del destacamento auxi liar de caballería de Nueva-Vizcaya, situado de mi orden enej Cojo, mien tras pasaba la infantería en canoas á Altamira, observando con puntualidad y% zelo los movimientos del enemigo, vio que este se aproximaba á su posi ció…</t>
  </si>
  <si>
    <t>…ecomendaciones de los sugetos que mas se distinguieron en esta acción, y fueron los siguientes: Los tenientes coroneles D. Juan Rafols y D. Francisco de las Piedras: los capitanes D. Facundo Melgares, D. Cristóbal Villaseñor y D. Eusebio Moreno: el teniente coronel graduado D. Alejandro María Arango; y mis ayudantes de campo el capitán graduado D. Juan Basave, el alférez de na vio de la Real armada D. Juan Sanjurjo Montenegro, y el primer ayudante del Rea…</t>
  </si>
  <si>
    <t>Melville</t>
  </si>
  <si>
    <t>…esolución se comunicase á todas las autoridades. Ay$er salióparaMilan S. A. R. el archiduque Rajfrprio ¿ vircy reino lombardo-véneto, ¿ ^ w GRAN BRETA Ñ A. Londres io de Abril. El vizconde Melville estuvo dias pasados en Deptford, y examinó cuida dosamente uno por uno todos los buques de la expedición destinada al Polo. Igualmente vio con mucho gusto manejar su canoa con suma destreza y agi lidad al esquimal, que está en Inglaterra hace ya algún tiempo,…</t>
  </si>
  <si>
    <t>…tos que puedan suministrarle el medio de juzgar atinadamente de las causas que han produ cido el estado actual de nuestros negocios en la India. Ya desde el año de 1784 el difunto lord Melville hizo diferentes propuestas sobre este asunto que recibieron la sanción del parlamento. Diez años después se estableció por ley una de dichas propuestas, en virtud de la cual se declaró ser contraria al ho*nor de Inglaterra la extensión de su territorio en la…</t>
  </si>
  <si>
    <t>Mén, Mariano</t>
  </si>
  <si>
    <t>Mariano Mén</t>
  </si>
  <si>
    <t>…er ta el de Coeneo, y otras pequeñas de la provincia de Valladolid, que todas componían el número de mas de 1500 bandidos. „ Nuestra pérdida ha consistido en el alférez de S. Luis D. Mariano Mén dez y 10 soldados muertos, 6 heridos y 2 contusos. ,, No tengo expresiones bastantes para manifestar á V. S. el valor tan de cidido con -que los gefes, oficiales y tropa que tuve el honor de mandar se portaron en este dia, pues todos todos desempeñaron sus de…</t>
  </si>
  <si>
    <t>Menchero, Josef López</t>
  </si>
  <si>
    <t>Josef López Menchero</t>
  </si>
  <si>
    <t>…ivo bajo , cuarto 3.0, frente ála lotería ; el jde AIcantud D. Atanasio Herrainz en la villa de Gascueña; el de Alange D. Josef Alegre Galan en Almendralejo; el de Sotan de Cabras D. Josef López Menchero en esta corte, ?CaVia baja’, núm. 25, cuarto 2.°, hasta mediados de Mayo, que saldrá de aquí á su desfino; el de Ledesma D. Pablo Montesino en Valencia de Alcántara, y el de Alama D. Ramón Marconell en Calatayud: 6° y último que las personas que quieran cóhsu…</t>
  </si>
  <si>
    <t>Mendez, Felipe</t>
  </si>
  <si>
    <t>Felipe Mendez</t>
  </si>
  <si>
    <t>…l González , al féreces D. Melchor Armenteros, D. Apolinario Rodea y D. Miguel Rodrí guez. Dragones de S. Luis: teniente coronel graduado D. Anastasio Bustamante, capitán graduado D. Felipe Mendez, teniente D. Manuel Muñoz, al féreces D. Pedro de Legarreta y D. Feliciano Guerra, y cadete D. Nicolás Gutiérrez. Dragones de Querétaro: alféreces D. Josef Frias, D. Manuel Arre ta y D. Mauro Camocho. Dragones deS. Carlos: capitán D. Domingo ligar te y portas…</t>
  </si>
  <si>
    <t>Mendez, Josef</t>
  </si>
  <si>
    <t>Josef Mendez</t>
  </si>
  <si>
    <t>…nuel Cerezo, Eugenio y Antonio Rojo en gramática, escritura y lectura ; y por su corta edad y aplicación desdé los últimos exámenes á estos en lectura y doctrina IX Manuel Facón , D. Josef Mendez , D. Elias Nuñez, Juan Feijoo, Valentín Herrero, Pedro Rodríguez, Fausto Portpcarrero, Agustín Gómez y Francisco Ruiz, á quienes según su correspondiente méritp premió dicho ilustre ayuntamiento con una medalla de plata, en que está gra tado el busto de S. Ju…</t>
  </si>
  <si>
    <t>Mendinueta, Pedro</t>
  </si>
  <si>
    <t>Pedro Mendinueta</t>
  </si>
  <si>
    <t>….Don Josef Palafox y .Melci, cabaHerp gran cruz de la Real y militar orden, de San Fernando, y de la de S. Hermenegildo; D. Joaquín Blak, caballero de íás ; mismas Reales órdenes; D. Pedro Mendinueta, consejero ,4e Estado, caballe ro gran cruz de la &lt;je Cárlos iii , y de la de S. Hermenegildo , y el marques de la Concordia, caballero gran cruz de la Real distinguida órdeh de Car los iti , de la americana de Isabel laCatólica, y de la de S. Hermenegildo; y…</t>
  </si>
  <si>
    <t>Meñdive, Pascuai</t>
  </si>
  <si>
    <t>Pascuai Meñdive</t>
  </si>
  <si>
    <t>….Dibitjo: á D. Juan Poey, y i D. Carlos Espinóla el áctessil. Escritura .* á í). Josef Manuel César ,y á Don Guillermo Larraganel accessit. Lectura : á D. Victoriano Pastor ., y á Don Pascuai Meñdive el accessit.-.Doctrina.cristiana:.a ÍX Josef'Antonio CabaJlero ,y á D. Simón Inchausti el accessit. Y concluida la distribución el mis mo corregidor en una corta arenga hizo pública la aceptación que al ilustre ayuntamiento le merecían asi el aprovechamiento…</t>
  </si>
  <si>
    <t>Mendivil, Juan Francisco</t>
  </si>
  <si>
    <t>Juan Francisco Mendivil</t>
  </si>
  <si>
    <t>…señalado por el valor y serenidad que les dis tingue , acudiendo con ja mayojr rapidez á los parages de mayor riesgo don de era preciso comunicar alguna orden, * „ JLgs coroneles. D. Juan Francisco Mendivil, subinspector de infantería, y D* Luis Genaro de la Rocque, del regimiento de Navarra, se han hecho, acreedores por su buena comportación y bizarría á la consideración deV.E.; del mismo modo que los coroneles graduados J). Antonio Casano y D. Josef Barreiro,…</t>
  </si>
  <si>
    <t>…do que tiene acreditado se apoderó del cerro Colorado bajo la batería de la Libertad, y causó mucho daño al enemigo: siendo digno de mención el co ronel del regimiento de la Union D. Juan Francisco Mendivil, que con su cuerpo se portó con mucho ánimo en esta ocasión, asi como el capitán del mismo D. Joaquín Dalmau. El capitán de lanceros D. Ramón de Bedoya, ayudante de campo del brigadier Canterac, se apoderó con la compañía de cazadores de Burgos dos veces de u…</t>
  </si>
  <si>
    <t>Mendoza, Diego Hurtado de</t>
  </si>
  <si>
    <t>Diego Hurtado de Mendoza</t>
  </si>
  <si>
    <t>…■*—- '■ 1 " —"■ ' Continuación de las escampas que se hallan de venta en la calcografía de la ¡m- f. 'atedio pliego de marca 'mayó*. = Cuaderno 6 0 D. Alonso Tos tado, Luis Vives, D. Diego Hurtado de Mendoza, D. Gerónimo de Zurita, Don</t>
  </si>
  <si>
    <t>…madura; una instrucción secreta del emperador Carlos v á su hijo D. Felipe 11; una memoria de las cosas mas curiosas que hubo en el tem plo de Salomón; una noticia histórica sobre D. Diego Hurtado de Mendoza, y dos noticias sobre canales de España. Las suscripciones continúan recibiéndose en Madrid en la referida librería de Perez por el 4.0 tomo y siguientes, y en las provincias en casa de los libreros designados en los anteriores anuncios. Los números sueltos s…</t>
  </si>
  <si>
    <t>Mendoza, Iñigo López de</t>
  </si>
  <si>
    <t>Iñigo López de Mendoza</t>
  </si>
  <si>
    <t>…Real» rz En medio pliego de marca mayor. =. Cuaderno 12. Josef Ribera, ablo de Céspedes, D. Diego Velazquez de Silva, Alonso Cano, Bartolomé de Mu-f rillo, y Juan de Herrera: 13. D. Iñigo López de Mendoza, Juan Ginés de Sepúlveda, Francisco de Salinas, Fr. Benito Gerónimo Feijoo, D. Alonso Perez de Guzman, y Rodrigo Diaz de Vivar. £Se continuara*) Por providencia del Sr. D. Andrés Oller, del Consejo de S. M., alcalde de Ca sa y Corte, de 24 del pasado, se ha m…</t>
  </si>
  <si>
    <t>Mendoza, Juan de Palafox y</t>
  </si>
  <si>
    <t>Juan de Palafox y Mendoza</t>
  </si>
  <si>
    <t>Diego de Saavedra Fajardo , y T&gt;. Alvaro Navía Osorio*. 7.0 D. Luís de Requesens, D. Bartolomé Leonardo de Argensola, D. Francisco Valles, D. Juan de Ribera, D. Juan de Palafox y Mendoza, y el Mtro. Fr. Luis Ponce de León: B.° D. Diego Mesía y Gueman , el Mtro. Juan de Avila, el P. Fr. Josef de Sígiienza, D. Diego Covarrubias y Leiva, Juan lírbina, y el P. Q. Tomas Vicente Tosca. (Se continuará.) Por providencia del Sr. D. Angel Fernandez de…</t>
  </si>
  <si>
    <t>Mendoza, Luis Carlos Hurtado de</t>
  </si>
  <si>
    <t>Luis Carlos Hurtado de Mendoza</t>
  </si>
  <si>
    <t>…o capellán mayor, con asistencia de su cabildo, celebró pontificalmente misa votiva , que fue canta da con excelente música del célebre Marcos Portugal. Después del Credo el limo. D. Luis Carlos Hurtado de Mendoza, deán de Braga, pronunció una elocuente oración, manifestando io debida que era esta acción de gracias, fun dada en la felicidad que de tan venturosa unión debía necesariamente seguir-; se. Acabada la misa entonó el mismo Excmo. obispo el Te Deurn, que se can…</t>
  </si>
  <si>
    <t>Mendoza, Nicolás de Villanueva</t>
  </si>
  <si>
    <t>Nicolás de Villanueva Mendoza</t>
  </si>
  <si>
    <t>…andro García Peña, natural de la misma villa, y D. Ciríaco Cantabrana/ avecindado en la ciudad de Nájera, de la citada provincia, sobre la pertenencia del mayorazgo fundado por el capitán D. Nicolás de Villanueva Mendoza, poseído últimamente por D. Miguel de Santervas Miguel y Catarroja, regidor que fue en lá ciudad de la Puebla de loa Angeles, en la América, cuyo expediente tuvo principio en 2 de, Mayo de 1814 , y se continúa por los trámites regulares, por virtud de pro vid…</t>
  </si>
  <si>
    <t>Mendoza, Pedro González de</t>
  </si>
  <si>
    <t>Pedro González de Mendoza</t>
  </si>
  <si>
    <t>…n medio pliego de marca mayor Cuaderno p.° D. Hugo de Mon eada, el Cardenal Silíceo, Bartolomé de Carranza, D. Antonio Covarrubias y Leiva, Antonio Perez, y D. Josef Pellicer: io. D. Pedro González de Mendoza, D. Mel chor de Macanaz, Fr. Francisco Ximenez de Cisneros, Vasco Nunez de Valboa, D. Josef Carrillo de Albornoz, y Hernando de Alarcon; ix. Juan de Torquemada, Hernando de Soto, D. Rodrigo Ximenez, Sto. Tomas de Villanueva, Diego Gar cía de Paredes, y Franci…</t>
  </si>
  <si>
    <t>Mendoza, Vicente González de</t>
  </si>
  <si>
    <t>Vicente González de Mendoza</t>
  </si>
  <si>
    <t>…stros. Las niñas fuero* prolijamente examinadas en doctrina cristiana, leer, escribir, aritmética y demas concerniente á primeras letras, cuya enseñanza está al cargó del maes tro D. Vicente González de Mendoza; y en lo tocante á costura^y bordado, de que presentaron varias labores, al de la maestra Doña Agueda de Pinedo jr su ayudanta, y por todo merecieron un general aplauso en atención á su ade lantamiento. Los discípulos de primeras letras igualmente y por clase…</t>
  </si>
  <si>
    <t>Mengacci</t>
  </si>
  <si>
    <t>…stante se habla de nuevos nombramientos de cardenales,' que nadie cree, cabalmente por lo mismo que se habla de ellos. Idem 1de Mayo. El Emperador de Rusia ha enviado de regalo al caballero Mengacci uti magnífico anillo para recompensar la extraordinaria fidelidad que manifestó' al Padre Santo. El mismo fue el que en 1809 , pocos dias antes que los fran ceses sacasen al Papa de Roma, fijó en las puertas de varias iglesias la bula por la cual se excomulga…</t>
  </si>
  <si>
    <t>Mengs</t>
  </si>
  <si>
    <t>…ñor en ¿us -palacios y sitios Reales, que se hallan en su calcografia .de la imprenta Rea]&gt; .[ En pliego 'de marca imperial,. El descendimiento de la cruz, pintado en tabla por el caballero Mengs, dibujado por Salesa , grabado por Wolpato en Rotna, á g8 rs. vn—Baco coronando á los borrachos, pintado por Velazquez, dibujado por Cruz, grabado por Carmona en Madrid, á 38.—-S. Ildefonso recibiendo upa casuf lia de .uiano de la Santísima Virgen, pintado po…</t>
  </si>
  <si>
    <t>…ene el Rey nuestro Señor en sus palacios y sitios Reales, que sé hallan en su calcografía dé la imprenta Real. En pliego de marca imperial. El Nacimiento, pintado en tabla 'por el caballero Mengs, dibujado por Beraton, grabado por Morghen en Roma, i r$.__ La sacra Familia, pintada por Julio Romano, dibujada por Buono, graba da por Caratoni en Roma, á 22._La Santísima Virgen apareciéndose á S. Bernar do, pintada por Murillo, dibujada por Bueno, grabada…</t>
  </si>
  <si>
    <t>Mengs, Antonio Rafael</t>
  </si>
  <si>
    <t>Antonio Rafael Mengs</t>
  </si>
  <si>
    <t>…tención del Sr. Rey D. Cárlos 111, para aprobar la propuesta que se hizo de que pasase á la corte de Roma, como se verificó, á continuar sus estudios bajo la dirección del célebre D. Antonio Rafael Mengs, su primer pintor de Cámara , y allí correspondió tanto á los deseos de su Soberano como á la justa fama de su maestro; siendo prueba de todo ello las muchas obras que egecutó, y entre las que tiene lugar primero el cuadro que remi tió á Madrid representando…</t>
  </si>
  <si>
    <t>Menocal, Ana</t>
  </si>
  <si>
    <t>Ana Menocal</t>
  </si>
  <si>
    <t>…iene la escuela dé Doña Baltasara deDiosdado, situada ew‘elar ra bal, élifció (a sociedad en junta presidida del mismo socio director*á .las seño» rás* Doña Lorenza Ortiz de Paz * Doña Ana Menocal i Doña. Gavina Moyano y Doña Manuela Ortiz de Paz , quienes reconocieron las]abores.;yhahiendo separado 16, las graduaron pór su orden, dando el primer lugar á las de Petra Ortiz, discípula de la escuela del arrabal, y á Josefa Tovar, que ■ *-h ' »u r . * rrT…</t>
  </si>
  <si>
    <t>Menzicoflf</t>
  </si>
  <si>
    <t>…en el salón de los caballeros. La comitiva de S. M. el Emperador se componía del general y ayudante general príncipe Wolkonsky; de los tenientes generales conde de CzernitschefF y príncipe Menzicoflf; de los coroneles Danuiewsky y Salombka, y de los médicos Willin y Ghiter. Nuestro Soberano acaba de dirigir á los defensores de la patria en los años de 1813, 1814 y 1815 la orden siguiente, relativa al monumento que debe erigirse en Berlín para perpetuar la…</t>
  </si>
  <si>
    <t>Mérida, Félix González</t>
  </si>
  <si>
    <t>Félix González Mérida</t>
  </si>
  <si>
    <t>…etendientes presentarán sus memoriales con las debidas-certificaciones de su edad , títulos , grados y méritos en Ja escribanía de ay untamiento.efe la referida ciudad al cargo de D. Félix González Mérida hasta fines del presente mes de Abril. En el lugar de Yébenes se halla vacante la cátedra de latinidad, dotada en 400 ducados» que se ha de proveer por oposición. Los pretendientes dirigirán sus solici tudes al secretario idel ayuntamiento del mismo'pueblo. E…</t>
  </si>
  <si>
    <t>Merino, Lope Martin</t>
  </si>
  <si>
    <t>Lope Martin Merino</t>
  </si>
  <si>
    <t>…celebró la Real ,congregación de,la guar«r día y oración al. Santísimo Sacramento en el jubileo de Jas cuarenta horas ,.en acción de gracias por su solemne instalación: por el P. D. Lope Martin Merino, consiliario de la misma., y presbítero del seminario y congregación de PP. m isioneros del Sali vador del mundo en esta corte. La misma Real congregación le publica en .obsequio de soi divino Dueño sacramentado. Se hallará á 4 rs.. en la sacristía donde estu…</t>
  </si>
  <si>
    <t>Mesa, Francisco Rodríguez</t>
  </si>
  <si>
    <t>Francisco Rodríguez Mesa</t>
  </si>
  <si>
    <t>…, D. Josef Arrese 4, D. Francisco-Ruz 1, D. Josef Manuel Chirinos 4 , D. Gerónimo Losada 3 , D. Rodulfo Vasallo iD. Tomas Pónce 4 reales¿ D. Juan Campos 2 pesos, D. Juan Insua 2 , Don Francisco Rodríguez Mesa 2 * Sres. Perez y Chaves 4, D. Ramón Gutiér rez 6, D. Feliciano Borges 4, D. Josef Hernández Horta 4 , D. Matías Cas tro 4, D. Juan V ícente Perez 2, D. Antonio García 2 , D. Pedro Castillo 4, D. Josef Antonio Rasquin 5 , D. Francisco de Iturbe 10, D. Ramón d…</t>
  </si>
  <si>
    <t>Mesa, María de</t>
  </si>
  <si>
    <t>María de Mesa</t>
  </si>
  <si>
    <t>…vienen las leyes. Habiendo fallecido D. Domingo Cañal en la ciudad de Veracruz el día 27 de Febrero de 1792, resultó por su testamento haber sido casado en la ciudad de Cá diz con Doña María de Mesa , dejando por herederos á sus hijos D. Manuel, Doña Antonia y Doña Rita Cañal; y respecto á que estos interesados no han solicitado el cobro de 16r pesos 5§ rs., que en el año de 1796 vinieron en el navio de guerra Santiago la América, pertenecientes á esta t…</t>
  </si>
  <si>
    <t>Metteriiich</t>
  </si>
  <si>
    <t>…asuntos dignos de discusión se tratarán tal vez en conferencias particulares; pero no serán discutidos de un jnodo solemne y díÍ&gt;lómático. Los muchos consejeros y empleados que el príncipe Metteriiich ha levado á Francfort no irán todos á Aquisgran. El príncipe Hardetnberg ha manifestado al consejero Coeller su gran dis gusto por la indiscreción que ha cometido este escritor publicando su opinión acerca dé la partición de Alemania en dos monarquías. Se han…</t>
  </si>
  <si>
    <t>Metternich</t>
  </si>
  <si>
    <t>…á algunos dias. El feld-mariscal Fernando de Wurtemberg ;ha fijado por. ahora: su 'resi dencia en Saltzburgo, y la duquesa, su esposa acaba' de llegar aqui á visitar á su padre el príncipe Metternich, nuestro ministro de Negocios extrangeros, cuya quebrantada salud no deja de dar algun cuidado. La sociedad general de agricultura de los estados austríacos ha celebrado estos dias una junta, que presidió el archiduque Juan, y en la que fue admi tido, entré o…</t>
  </si>
  <si>
    <t>…alla quebrantado de salud, y se asegura que ha pedido un año de licencia para ir á Niza y al mediodía de la Francia. Si esto se verifica, la duquesa su esposa, que es herma na del príncipe Metternich, se volverá á Viena , y en el invierno irá á Niza. La viuda del elector de Baviera , que pasó á Viena para ver a su madre la Archiduquesa Beatriz y á su hermano el duque de Modena, no regresara a Munich hasta el invierno. Nuremberg 2&amp; de Agosto. Las últimas c…</t>
  </si>
  <si>
    <t>…rdenes dé sus Soberanos de hallarse á fi nes de Setiembre en Aquisgran. &lt; . ‘ ;; ........................................ * -Idem-jycK .'.mí.'. . . ; &lt; .7 v:7 Anoche llegó aquí el príncipe Metternich, y tuvo inmediatamente una larga conferencia con el conde de Trautmansdorf, ministro plenipotenciario de Austria cerca de las cortes de Wurtemberg y de Badén, que llegó casi al mismo tiempo. Poco antes llegó también el barón de Floret y que debe ir con el prí…</t>
  </si>
  <si>
    <t>…or sospechas de asesinato, y se cree que el objeto era libertarle. FRANCIA. Parts íi de Setiembre.. Con fecha de 5 de este mes escriben de Francfort lo siguiente: ,,Se sabe que el príncipe Metternich está muy mejorado, aunque todavía no sale de casa , y se ignora cuando emprenderá su viage; „S. M. el Emperador de*Rusia saldrá de Petersburgo el 7 de Setiembre, llegará el 16 á Berlín, en donde se detendrá hasta el lo inclusive; el 21 pa-* sará á Leipsick, e…</t>
  </si>
  <si>
    <t>…ncfort. El' gran duque Miguel visito ayérá los Soberanos. . \ V *,r. Las conferencias ministeriales continúan ! unas veces en casa.del príncipe de Hardemberg5, y otras en casa del príncipe Metternich, En ellasi .se ocur* pan los ministros en arreglar las medidas que han de tomarse para asegérar la paz y el reposo de la Europa, después de haber decidido la evacuación dé Francia. Jamás ha habido tan buena disposición en los gabinetes de Europá&gt; para concurr…</t>
  </si>
  <si>
    <t>Metternicli</t>
  </si>
  <si>
    <t>…a el pago te las contribuciones se ha resuelto en la sesión que han tenido hoy los ministros a Ja una del dia. Después de esta sesión lord Castlereagh, el duque de Wellington y el príncipe Metternicli fueron todos juntos á la casa de ayuntamiento y al taller de sir Tomas Lawrance, pintor del Príncipe Regente , que trabaja sin ce sar en ios retratos de varios personages: el del.Emperador de Austria esta</t>
  </si>
  <si>
    <t>Mi</t>
  </si>
  <si>
    <t>…as en este perióaico, se hallaban reducidos á sus fortalezas de la ciudad de la Asunción y del Norte. En este estado re cibid aviso el general Morillo de haberse visto obligado el brigadier D. Mi guel de la Torre á evacuar la capital de la Guayana, tanto por la suma es casez de fuerzas y víveres que tenia, como para salvar los muchos buques que había en-el puerto, y reunir las fuerzas que quedaban para oponer la posible resistencia al pirata Brion. Al…</t>
  </si>
  <si>
    <t>240</t>
  </si>
  <si>
    <t>…s, hijo de Henrique y de Agueda Tellez, se ausentó de esta corte el año 13 y y no habiéndose tenido no ticia de su paradero, se suplica al que lo sepa que lo avise en esta corte á D. Mi guel García, que vive calle de S. Juan, núm. 3 , cuarto principal. Los modelos y cuaderno que se acompañan á la Real orden de 18 de Febrero de este año para igualar las cuotas de la contribución general del reino, cuya exacti tud no necesita recomendarse, se…</t>
  </si>
  <si>
    <t>Michclacú</t>
  </si>
  <si>
    <t>…rgantín sardo; y al dia siguiente empezaron á desembarcar el cargamento confiscado, cuya operación duró haste el 3 dé Diciembre. El 5 del pro pió mes fue llamado ef capitán por el ministro Michclacú, quien le entregó 350 duros pór el flete del buque, y '50 á título de regaló del Dey, creyendo sin dudá paliar con esta aparente gene rosidad el violento é injusto despojo qué acababa de practicarse. Eii seguida hicieron Armar al capitán un pápel en idioma tu…</t>
  </si>
  <si>
    <t>Michüena, Miguel de</t>
  </si>
  <si>
    <t>Miguel de Michüena</t>
  </si>
  <si>
    <t>…ió con un soste nido fuego de fusil y un tiro de riietralla , causándoles bastante daño y ha- &gt; cíéndoles huir vergonzosamente: persiguiólos entonces con su escuadrón el te niente coronel D. Miguel de Michüena , cuyo gefe se porro con el mayor va lor y bizarría acuchillándolos, completamente.</t>
  </si>
  <si>
    <t>Mieg, Juan</t>
  </si>
  <si>
    <t>Juan Mieg</t>
  </si>
  <si>
    <t>…S. MM; y AA. RR., dignándose, .manifestar su satisfacción del -modo mas. .lisonjero al Sr. presidente de este Real establecimiento y al director y profesor cated drático del mismo D. Juan Mieg. Entre los discípulos que se; presentaron 6 responder á las cuestiones que se les hicieron eñ este egercicio losmassobre-i salientes* no solo por sus respuestas, sino también por su aplicación y aprove-c chamiento durante todo el curso , han sido el teniente…</t>
  </si>
  <si>
    <t>Miguel</t>
  </si>
  <si>
    <t>…andera inglesa, que pasa al mar Negro, y los otros dos han preferido comprar sus carga mentos de granos en este canal por lo avanzada que está la estación para ir á Odesa. El gran duque Miguel, hermano de S. M, el Emperador de Rusia, que viaja por las provincias meridionales de aquel imperio, estuvo en Odesar des de el 24 hasta el 29 del mes próximo pasado, y fue recibido en dicho puerto con mucha magnificencia. El día 5 del corriente mes dio á luz…</t>
  </si>
  <si>
    <t>…nsejero de Estado actual y médico de S. M. I. el caballero Loder. Este gabinete es uno de los mas completos c|ue existen, y contiene muchas cosas extraordinarias. S. A.'I. el gran duque Miguel llegó el 6 de Noviembre á Funagoria, y después de haber reconocido las fortalezas, los cuarteles &amp;c., partió para Kertsch, donde le presentaron varias antigüedades del sepulcro de Mitrídates: S. A. reconoció aquel sepulcro, y después continuó su viage á Teodo…</t>
  </si>
  <si>
    <t>…la gaceta ex traordinaria de Caracas de £ de Diciembre último. Parte del coronel del regimiento de Navarra, comandante de Calabozo, al Sr. capitán general. Comandancia Militar. El brigadier D. Miguel de la Torre, en oficio fe cha de ayer, me dice lo que copio s , „Te»go el honor de participar á V. S., para que lo dé por orden en las tropas de ese cantón, la completa derrota del egército insurgente, que en el hato de la Hogaza tuvo la debilidad de esperar…</t>
  </si>
  <si>
    <t>Ndm. 30. ..............^ cuartos.j ¡^49 GACETA DE MADRID DEL MARTES 10 DE MARZO DE 1818. ; RUSIA. Petersburgo 27 de Enero. 4 S. A. I. el gran duque Miguel va á emprender un viage por los reinos extrangeros, empezando por Inglaterra. Acaba de publicarse un ukase, con fecha del 6 del corriente, dirigido al Senado directivo, cuyo tenor es el siguiente: „EL castigo de arrancar ó cortar las narices, que se imponía á…</t>
  </si>
  <si>
    <t>…antes, y hacer gara ello los egercieios que quedan indicados , comparecerán en la villa y corte, de Madrid por sí mismos ó por medio de sus procuradorescon poder bastante, ante el coronel Miguel" de Arechávala y Villodas r ayo de los caballeros pages de S. Mi, gefe. inmer aiato de la Real casa en que habitan, y director: general de sus estudios quien exhibirán los documentos que acrediten su oriundez, Buenas costurnTbresestudios que hayan hecho, y ac…</t>
  </si>
  <si>
    <t>…porajmente la dignidad 'de senador que tenia; porqpe d isona do compone la primera cámara de la Dieta, y nadie puede áunmismo tiempo ser vocal délas descarnaras. . . | . c El gran duque Miguel debe venir á esta capital, en donde, pasara algunas semanas. . ¡.I s } Se cree que el viage dé Su M. el Emperador de Rusia nuestro Soberánp se entenderá á V¿ena , Munich , $t»ttgardt * Francfort, Dusseldorf! y rBrusiélas , y que ¡en tres á cuatro de estas ciu…</t>
  </si>
  <si>
    <t>…das las acciones' señaladas que egecutaron durante la líltima guerra. Se dice que Mr. Czernichef será el sucesor de Mr. de Stackelberg en el destino de embajador de Viena. El gran duque Miguel se trasladará á Viena á primeros de Abril, y á este efecto se le ha puesto en casa del banquero Arnstein la cantidad de 200® nublos. . ' BOLONIA. Varsovia 26 de Marzo. Xa ciudad libre de Cracovia acaba de enviar aquí nna diputación , con el •objeto de manifes…</t>
  </si>
  <si>
    <t>…se ha propuesto no pasar por el territorio otomano que. atraviesa la Albania en dos puntos diferentes. , ;. . Esperamos aquí no al gran duque .Nicolás, como se dijo, sino al gran duque Miguel, á cuyo efecto se ha puesto á su orden en casa de los ban-? queros Arnstein y Eskeles la cantidad de 2Qo£3&gt; rublos de plata. &gt; Idem 2 de Abril. Ya se ha comunicado de oficio á todos los ministros y departamentos, que durante la ausencia de S. M. I. dirigirá l…</t>
  </si>
  <si>
    <t>…las que hicieren siendo arregladas. Habiendo fallecido abintestato en esta corte D. Domingo Antonio Suarez el dia 21 de Setiembre de i8c6, han acudido sus cuatro hijos D. Joaquín, D. Miguel, Doña María Dolores y D. Juan Suarez al juzgado del Sr. D. Joaquín Almszan y Ximeno, del Consejo de S. M., teniente primero de corregidor de esta muy heroica villa, por la escribanía del número de D. Tomas de Sancha y Prado, en solicitud de.que se les declare…</t>
  </si>
  <si>
    <t>…ti do señalar los fondos que se necesiten para este efecto. • ’ ' ' PRTJSIA. : "[-rT , *' ■ • . : - , ' '' , ’ • ' L T nti.r v:-r/- • ■ = Berlín ixde Abril* ... : Si -Aiíioei gran duque Miguel acaba de llegar á estar capital : durante su7 permanencia en ella habrá grandes paradas de trocas y maniobras militares, á cuyo efecto-se trasladará mañana* aquí la guarnición de Potsdam. El teniente general d’Engelbrechtengobernador de Stralsund, que iba enc…</t>
  </si>
  <si>
    <t>…mos desposorios del Sermo. Señor príncipe Real con la Serma. Sra. Princesa Leopoldina ,bojó S. M. á las 11 de la mañana á su Real capilla con SS. A A. RR. el Príncipe y el Infante D. Miguel,: y acompañado de su corte. El Excmo. y Rmo. obispo capellán mayor, con asistencia de su cabildo, celebró pontificalmente misa votiva , que fue canta da con excelente música del célebre Marcos Portugal. Después del Credo el limo. D. Luis Carlos Hurtado de Men…</t>
  </si>
  <si>
    <t>…olamente las sustancias adecuadas para el efecto que se desea obtener. ESPAÑA. Madrid 5 de Junto. ARTICULO DE OFICIO. El Rey nuestro Señor atendiendo á ios méritos, y servicios de D. Miguel</t>
  </si>
  <si>
    <t>…ado de aquella.” Los I2r diputados de la Dieta de Noruega asistieron^ á la coronación, ALEMANIA. Hamburgfr jB de Maye. Esta mañana ha salido de aquí para Harburgo S. A. I. el gran duque Miguel, después de haber visto en, los tres dias que ha estado aqui todo lo q¡jue hay digno d* alguna atención* Acabamos def recibir cartas de Argel que dan esperanzas de que el reina do del actual Dey. Houssin será mas . pacífico que el de su antecesor. Las mismas…</t>
  </si>
  <si>
    <t>…de Junio. . , Elr&lt;foque¡.de,WelHngton comió ayer en.casa del embajador de Austria: se asegura que S. E. partirá á fines de esta semana. * El f del corriente llego á Calais el gran duque Miguel, y fue cumpnmen¿ado á las puertas de la ciudad por todas las autoridades de ella y por el cuer po de oficiales militares, habiéndose hecho á S. A. I. los mismos honores que á los Príncipes franceses. Las calles que atravesó estaban adornadas con colgaduras bl…</t>
  </si>
  <si>
    <t>…en gefe del egercito expe dicionario de Costa-firme, con fecha de 11 de Diciembre ultimo remite al Excino. Sr. Secretario del Despacho de la Guerra copia del parte del briga dier D. Miguel de la Torre acerca de la acción del hato de la Hogaza, del que se dio noticia en la gaceta de 3 de Marzo próximo pasado, el cual di ce asi;</t>
  </si>
  <si>
    <t>…mo. Sr. = Miguel de la Torre. = Excmo. Sr. D. Pablo Mori llo , general en gefe del egércrtó expedicionario.1’ El expresado general en gefe recomienda el mérito que ha contraído el brigadier D. Miguel de la Torre, como igualmente la conducta del regimiento5 de húsares de Fernando vir, y de lós batallones de Castilla y Navarra. - El Excmo. Sr. Secretario de Estado y del Despacho de Marina ha recibi do por extraordinario un oficio del teniente de Navio D. An…</t>
  </si>
  <si>
    <t>…de sus heridas. El general MoriUbyya casi del todo bueno de su herida^ se prepárá pa^*. ra1 continuar -la«campaña*”;¡ '&gt; •* \ v ■ f -•&gt; ¡1 Asimismo-con-referencia á uri p^rte del comandante D. Miguel de la Tor re 'dirigido al Exbmo./Sr. Di Pablo Morillo, se han publicado áqui las noticias&gt;síguieátes1 r:"&gt;1 cf-íV/ -&lt;i , oíüH'jK •' )/•(;: V r., r .* * ,,En la 'madrugada del i de Mayo salió dicho comandante de S. Cárlos con dirección á Cógede*, dónde presumí…</t>
  </si>
  <si>
    <t>…to dé-V.' S. para su sa tisfacción y la de ese fiel vecindario. ,,Dios &amp;c. S. Carlos 3 de Abril de 1818.= Ramón González. = S. C. G.^ 2° Del'Excmo.Sr.D. Pablo Morillo al mismo. El brigadier D. Miguel de la Torre, comandante general de la primera división, con fecha 30 de Marzo desde el campo de Sémen, me dice lo si* guíente: ' ' ■ v „Excmo. Sr.: Estando situado en el pueblo de Ortiz con los batallones de la Union , Castilla y Pardos de Valencia , como ten…</t>
  </si>
  <si>
    <t>…estra á éónjpluír su exterminio. Al mísiiió tiémpo Iá iz quierda enemiga con un grueso de caballería, mandado por Zaraza ; trató dé flanquear nuestra derecha y envolverla; pero el capitán D. Miguel dé Carnón y Asopardo, que dirigid el tercer escuadrón que estaba dé reserva, le dió tan oportunamente un frente diagonal para cubrir éste costado , que cargandó ai enemigo en uñión del escuadrón de S. Francfsco j le detrótáron completaméñ'té; y Iá acción fue…</t>
  </si>
  <si>
    <t>…s .cuarteles dé Maubeuge una escuela, en la cual 300 soldados rusos han’ aprendido en tres meses á leer y escribir , lo que ha grangeado á sil establecimiento los elogios del gran duque Miguel, que,se dignó examinarle. Ademas se han establecido otras escuelas en las provincias mas re motas del imperio, ruso, inclusa la Siberia.^ En.Francia los progresos de este método han sido rápidos, y el Gobierno proporciona todos los medios,de que se establezca…</t>
  </si>
  <si>
    <t>…ruyendo y reparando cuatro navios de línea y cinco ó seis fragatas. Idem 29. , . La Reina está hoy mejorada , y los médicos empiezan á concebir esperan zas de su curación. El gran duque Miguel saldrá de Londres el dia 4 d 5 de Octubre para Bruselas, desde donde pasará á Aquisgran. En el periódico intitulado the Times se han publicado las siguientes no ticias sobre el estado político de la India. ,,En 1798 Bonaparte estaba en Egipto; Tipo Saib nos a…</t>
  </si>
  <si>
    <t>…re de su hijo menor D. Josef Trini4 dad Navarro Balboa y Doña María Ana Ducarne, viuda de D. Josef Navarro Balboa! como madre y tutora, y sus cuatro hijos de menor edad D. Manuel, D. Miguel, Doií Joaquín y Doña María Concepta Navarro y Balboa, sobre incorporación á-la!Real corona.de la escribanía de millones dé la ciudad de Lorca*. en cuyos autos, por de* cretó de siete de este mes, ha acordado dicho supremo tribunal se cite y emplace á los refe…</t>
  </si>
  <si>
    <t>…a vecindad de los berberiscos, y restituir la’Civinzadoní á las costas septentrionales del Africa. Hoy ha llegado aquí el gran duque Constantino, procedente de Francfort. El' gran duque Miguel visito ayérá los Soberanos. . \ V *,r. Las conferencias ministeriales continúan ! unas veces en casa.del príncipe de Hardemberg5, y otras en casa del príncipe Metternich, En ellasi .se ocur* pan los ministros en arreglar las medidas que han de tomarse para as…</t>
  </si>
  <si>
    <t>…l 11 de este mes llegó aquí el encargado de Negocios del gran duque de Badén, y al dia siguiente comió con el Principé de Metternich. Anteayer entró también en esta ciudad el gran duque Miguel, y ayer fue conducido al alojamiento de S. M. el Rey de Prusia por el Emperador Ale jandro. Se dice que este último Soberano , de concierto con sus augustos alia dos, ha arreglado su itinerario y las disposiciones concernientes á la revista general. El dia 17…</t>
  </si>
  <si>
    <t>…ntien den de las pretensiones particulares y de todos los objetos cuya discusión pu diera ocasionar disputas y diferencias. El.Emperador de Rusia saldrá de aquí mañana con el gran duque Miguel para ir á recibir á la Emperatriz su madre, y comerán juntos en la casa de campo del Emperador. Acabada la comida continuará la Emperatriz su viage por Maestrich, y llegará á Bruselas pasado mañana. A mediados de este mes el Emperador ira también por algunos…</t>
  </si>
  <si>
    <t>…de infantería y el 52 de la misma arma quedan de guarnición en Cambra! y en Valenciennes hasta que lleguen las tropas francesas. Idem 4, El Emperador de Rusia y su hermano el gran duque Miguel, que fueron acompañando á la Emperatriz madre hasta Maestrich, volvieron ayer á las' dos de la tarde. A pesar de unos viages tan rápidos, y de las molestias que son consiguientes, ha gozado el Emperador perfecta salud desde el mes de Enero que salió de Peters…</t>
  </si>
  <si>
    <t>…recibimiento, se revocaron las disposi ciones. . ' Ayer á las 10 de la noche llegó S. M., y se apeó en el patio de palacio, donde le recibieron SS. MM. el Rey y la Reina. El gran duque Miguel llegó por la mañana. PAISES-B A JOS-UNIDOS. Brusélas 4 de Diciembre* En la gaceta de la Haya se inserta una carta particular de Filadelfia, con fecha de 20 de Octubre, que dice lo siguiente: ,, Acabo de saber por un amigo la triste noticia de que Mr. Ten-Cate…</t>
  </si>
  <si>
    <t>Miguel, Isidro</t>
  </si>
  <si>
    <t>Isidro Miguel</t>
  </si>
  <si>
    <t>…ignorancia; apercibidos que al que ño concurriese le parará el perjuicio que haya lugar. En 1a subdelegacion general de bienes mostrencos, vacantes y abintestatos sé denunció por D. Isidro Miguel de la Cruz , vecino que fue de esta corté el año de j794, una casa sita en está villa, calle del Eguiluz, señalada con el nútn. 6 de la manz. 5 2&lt;5, ,la qué por no haber parecido dueño se declaró vacante con aplicación al Real fisco y cámara, y vendió en públ…</t>
  </si>
  <si>
    <t>Miguel, Jaime</t>
  </si>
  <si>
    <t>Jaime Miguel</t>
  </si>
  <si>
    <t>…de la plaza de Seu de ürgel, en Cataluña, á D. V Ícente Carriola, comandante del tercer batallón del regimiento fijo de Ceuta: la capitanía de llaves de la de Oiivencia al alférez D. Jaime Miguel, sargento primero del .regimiento de húsares de Bailen, y la de Ceuta al subteniente graduado dé infantería D. Juan Car ril , que servia interinamente dicho empleo. ...La Real junta gubernativa, administrativa y económica de las encomien das vacantes de la or…</t>
  </si>
  <si>
    <t>Miguel, Jósef</t>
  </si>
  <si>
    <t>Jósef Miguel</t>
  </si>
  <si>
    <t>…uregui, y5á todos lós 'oficiales de la sección dé -Tampico , ’qué este géfeme recomien da-en su citado adjunto parte ; ai capitán D. Pedro Blasco ,\tenientes'D.' Jo-sef Llórente y D. Jósef Miguel; Fernandez, y subteniente fD. Marcos- Domin-i guez, de lá división dé milicias de Tuxpart-, y á los subtenientes 'de las cornos páñías de'fieles realistás de Túxpán y Pápantla D. Rafael ¡Contreras y D. Jo-* séf J'oaquin Cówley y que todos todos han desempeñad…</t>
  </si>
  <si>
    <t>Miguel, Juan</t>
  </si>
  <si>
    <t>Juan Miguel</t>
  </si>
  <si>
    <t>…ina nuestros Señores D. Luis Beldrof, aposentador honorario de pa lacio , con un ayuda del Real guarda-muebles, y firmaron SS. MM. la men cionada escritura matrimonial, ejk f&amp;xexp D. Juan Miguel deGri-</t>
  </si>
  <si>
    <t>Mikan</t>
  </si>
  <si>
    <t>…tural que han colectado allí los naturalistas alemanes que envió nuestra cor té. En la misma Fragata vienen también Mr; Buchberger , herido de una caida que dio de un .caballo, el profesor Mikan, y el pintor de países Mr. dé Euder, que no han podido sufrir el clima abrasador de la zona tórrida; Idem JJ. -: . Según noticias que acabamos ahora de recibir de Garlsbad la reunión dé los Monarcas en Aquisgran se ha diferido doce dias. El Emperador de [Rusi…</t>
  </si>
  <si>
    <t>Milla, Francisco</t>
  </si>
  <si>
    <t>Francisco Milla</t>
  </si>
  <si>
    <t>…cuanto se les pregunto relativo á esta enseñanza. Siguió á estos actos un certamen de doctrina cristiana; y habiéndose ad judicado el correspondiente premio al mas sobresaliente , D. Francisco Milla dio las gracias al Excmo, Sr* capitán general y demas concurrentes, quienes manifestaron haber quedado sumamente satisfechos. Madrid, 18 de Diciembre. En el sorteo de la Real lotería moderna celebrado el día 16 deI corriente salieron sorteados con¡ los premio…</t>
  </si>
  <si>
    <t>Millati, Antonio Baltasar</t>
  </si>
  <si>
    <t>Antonio Baltasar Millati</t>
  </si>
  <si>
    <t>…religiosas franciscas, el de religiosos de la misma or den , y el hospital, y con la pensión de loo ducados anuales que se han señalado de jubilación, por el tiempo de su vida, á D. Antonio Baltasar Millati de mas de 81 años de edad. Los pretendientes dirigirán sus memoriales hasta el 15 del corriente al procurador síndico general Lie. D. Manuel Montero. Observaciones sobre la naturaleza y virtudes de las aguas minerales de Trillo, por el médico director por S.…</t>
  </si>
  <si>
    <t>Millin</t>
  </si>
  <si>
    <t>…ones que de algún tiempo á esta parte se han hecho de los productos de nuestro suelo, señaladamente por la Inglaterra, que ha sacado de este país una in mensa cantidad de sebo. El conde Millin, de Riga, individuo de la junta de Livonia, destinada á proponer medios para mejorar la suerte de los'paisanos, ha recibido del Em perador una caja guarnecida de brillantes, como un testimonio público de la satisfacción de S. M. I. / . La academia imperial de…</t>
  </si>
  <si>
    <t>Miloradowitsch</t>
  </si>
  <si>
    <t>…COI}.. el título de, conde, y co, n se, rva,' ndole, el ministerio de. _F.olicla que egercia. Para stJ.~erle en el gpbj~rf)o' JuHitaJ .;le 'esta plaza ha, $ido nombrado el general conde Miloradowitsch. Por&gt; las nQti~ias' re~ib¡da.saqui de varias p~te¡ ~ la Siberia se ha sabido que la est.acion ha sido tan atrasada este año, que el 11 de Junio ,en' V4C~ partes no habiaA brótado toda,ía lQ$ árboles ni nacido yen-ba ning\lna. SUECIA. "Stock'olmo 8 de Setiem/1…</t>
  </si>
  <si>
    <t>Ministro</t>
  </si>
  <si>
    <t>…lería , extractado del huevo regla mentó de orden de S. M. por una sección de oficiales del arma, empleados en la comisión de gefes y oficiales á las inmediatas órdenes del Excmo. Sr. Ministro de la Guerra: este cuaderno comprende la instrucción de compañía hasta la de una ó mas divisiones.Se hallará en la librería de Dávila, calle de las Carretas, á 10 rs. vn. EN LA IMPRENTA REAL.</t>
  </si>
  <si>
    <t>Minteguiaga, Rafael</t>
  </si>
  <si>
    <t>Rafael Minteguiaga</t>
  </si>
  <si>
    <t>…uceno Be llo 30, D. Víctor Lerin 15 , D. Juan Josef Fuertes 10, D. Antonio Oramas 10, D. J osef Pacanis y Nicolau 10, D. Juan Tomas Zaldarriaga 10} D. Josef Ignacio Tsquiagav 2o , D. Rafael Minteguiaga 15, D. Ramón Go mia 10, D. Josef Ramón Zozalla 2, D-&gt; Jaime Mas 8, D. Martin de Irrgo•yen 8 , D.; Juan:.Gcrd.il.' d, D¿ tMiguel Antonio Oyarzabal 6 , D. Joaquín/ Emazabei 4, D. Antonio Delgado 4 , D. Vicente.Sarria 4, D. Marcial Bei*7 mudez 4, D. Joaquín Rein…</t>
  </si>
  <si>
    <t>Minuldeo</t>
  </si>
  <si>
    <t>…' r La comitiva que debe acompañar á S. M. el Rey de las Dos-Sicilias en su viage á Roma se compondrá de la-duquesa de Floridiá, del duque de Ascoli, del Príncipe de Ruffano y del general Minuldeo. La salida de S. M. de Nápoles se verificará el dia 25 de Octubre. l En el mes de Setiembre próximo debe celebrarse un consistorio, en el que. será proclamado arzobispo monseñor Mucchi, mincio .de S. S. en Suiza. Todavía sigue la causa formada contra los abat…</t>
  </si>
  <si>
    <t>Miqueley, Mariano</t>
  </si>
  <si>
    <t>Mariano Miqueley</t>
  </si>
  <si>
    <t>…viila. De la Corona : teniente D. Ignacio Valiente. De Frontera: teniente coronel graduado D. Josef María Novoa , teniente D. Josef María Gutiérrez, " . Felipe Guillen, y agregado D. Mariano Miqueley, alférez graduado d^ - .rnañ'D. Josef María Peña , poirta graduado dé teniente D. Mariano Teran, porta D, Benito Fernandez y cade:e!D. Josef Zamora. De Nueva-Vizcaya: capitán D. Josef María Móreno y\alféreces' D. Justo Escudero y D. Lazaré Ariñendariz. Dragon…</t>
  </si>
  <si>
    <t>Miralíes, Manuel</t>
  </si>
  <si>
    <t>Manuel Miralíes</t>
  </si>
  <si>
    <t>…argento, 3 cabos y 16 soldados. De reten: 2 subalternos, 6 sargentos, 27 soldados de infantería, y 33 de caballería del tercer escuadrón de Santiago. Comandante de este can tón ei brigadier D. Manuel Miralíes: su residencia en AJgeciras. 3«er Cantón. Tarifa. Su extensión desde Gualmesí hasta Barbate. Puntos de ocupación militar que abraza, y fuerza que debe cubrirle.. Torre Gualmesí: 1 subalterno, 1 sargento, 3 cabos y 16 soldados de los regimientos de infantería…</t>
  </si>
  <si>
    <t>Miranda, Josef</t>
  </si>
  <si>
    <t>Josef Miranda</t>
  </si>
  <si>
    <t>…_____ ARTICULO DE OFICIO. El Rey nuestro Señor se ha dignado conceder el empleo de gobernador y comandanre general de la plaza de Ceuta al teniente general de los Reales egércitos D. Josef Miranda : al de la misma D. Francisco de Copons y Navia el gobierno militar y político de la de Barcelona: Ja sargentía mayor de lá de v alencia de Alcántara ai teniente coronel de infantería D. Juan de Ariza: la primera ayudantía de Ceuta al capitán D. Miguel Ibañez…</t>
  </si>
  <si>
    <t>…eis de la tarde de 1818. = Josef Luyando.—- P. Z&gt;. Los niños siguen bien del sa rampión , están fuera de peligro, y al niño se le han desaparecido los bubones ó el'bubón. = Excmo. Sr. D. Josef Miranda.” ' Por las comunicaciones verbales que tuvo el día; 23 en la rada de Tánger el barco correo de Gibraltar se sabe haber llegado el 2r á dicha ciudad el. médico español D Serafín Sola con orden del Sultán de Marruecos de carac terizar la enfermedad sentida en…</t>
  </si>
  <si>
    <t>Miro, Antonio Ramón</t>
  </si>
  <si>
    <t>Antonio Ramón Miro</t>
  </si>
  <si>
    <t>…su juzgado privilegiado, se cita,.llama y em plaza á todas y cualesquiera personas que se conceptúen con derecho á los bienes quedados con motivo del fallecimiento abintcstatQ de D. Antonio Ramón Miro* ca pitán que fue dei regimiento infantería de Reales Guardias 'Españolas , para que dentro del preciso término de 20 dias, contados desde el 2 del corriente, que por segundo se les señala, acudan á dicho juzgado y escribanía del mismo á cargo de D. Román Lor…</t>
  </si>
  <si>
    <t>Miro, Francisco de Clemente y</t>
  </si>
  <si>
    <t>Francisco de Clemente y Miro</t>
  </si>
  <si>
    <t>…l patio, y una pequeña fuente imitando la de Apolo del salón del Prado. Ha dirigido y arreglado este aparato, como también el que se va á construir en grande, el teniente de navio D. Francisco de Clemente y Miro, y el ar-, tista y constructor de instrumentos físicos y químicos D. Antonio Banelli¿ los. mismos que en compañía del capitán retirado del Real cuerpo de Artille** ría D. Tomas Sixto, construyeron el aparato y los demas ensayos de que han hecho mención los pa…</t>
  </si>
  <si>
    <t>Mo</t>
  </si>
  <si>
    <t>…a á Palestina, pasando por el istmo de Suez. Idem g. La escuadra rusa que se halla en Spithead se compone de los buques si guientes: el Dresden, de 74 cañones, que monta el contra-almirante Mo11er, mandado por el capitán Ternepsky; el Norte Adier, de 74, conmódoro Hamilton; el Neptuno, de 74, capitán Mossat; el Tronchsiüastitil, de 74, capitán Torderem ; el Lubeck, de 74, capitán Srepanof; el Mercurio, de 44 , capitán Novilskox; el Patricio, de 44…</t>
  </si>
  <si>
    <t>Mo, Carlos Rodríguez de</t>
  </si>
  <si>
    <t>Carlos Rodríguez de Mo</t>
  </si>
  <si>
    <t>…cho señor juez y citada escribanía. . 1 it , ' &lt; En virtud de provideñeiá del Sr." D, Manuel Jósef dé Árbizu, del Consejo efe S. M¿, alcalde en su Real casa y corte, refrendada dé D. Carlos Rodríguez de Mo ya, escribano de provincia, se cita, llama y emplaza á los que se presuman ser acreedores á los bienes quedados por fallecimiento de D. Fulgencio Ezquerra, ve-i-ciño y del comercio que fue de esta corte, para que en el término de 15 dias, con tados desde esta…</t>
  </si>
  <si>
    <t>Mo, Juan de Moya y</t>
  </si>
  <si>
    <t>Juan de Moya y Mo</t>
  </si>
  <si>
    <t>…Rey nuestro Señor se ha dignado conceder la comandancia de la Guai ra, en las provincias de Venezuela, al coronel D. Remigio BobadiMa, v 1* tenencia de Rey de la plaza de Cuba al coronel D. Juan de Moya y Mo!re;o,n , tehjente córóneí mayordel regimiento-de infantería dé Irlanda. * El Rey nuestro Señor se ha servido condecorar con la gran cruz de la Real y distinguida orden americana de Isabel la Católica al limo. Sr. Don Remigio de la Santa y Ortega, obispo absue…</t>
  </si>
  <si>
    <t>Modet, Miguel</t>
  </si>
  <si>
    <t>Miguel Modet</t>
  </si>
  <si>
    <t>…brar para cuatro plazas de oidores de la Real audiencia de Valencia, vacantes por jubilación de D. Manuel de Villafañe, D. Ramón Gíraldo, D. Lorenzo Villanuevay D. Josef Alonso, á D. Miguel Modet, oidor de la audiencia de México; á D. Josef González Tizón , oidoír de la de Cataluña, ambos con su antigüedad; á D. Francisco Xavier Borrulf, y D. Josef de Cartagena, oidores en comisión que han sido de la misma au*diencia de Valencia; y para la plaza de fi…</t>
  </si>
  <si>
    <t>Moerner</t>
  </si>
  <si>
    <t>…ministro de la Justicia; del conde Rosenblad, consejero de Estadodel barónCederstroem, gobernador de la capital, y gefe del estado mayor de la escuadra, y del consejero de Estado conde Moerner. El Rey lleva en su comitiva al conde Brahe y al barón Koskull, y el Príncipe Real en la suya al conde Posse. En su vi age atravesarán S. M. y A. R. la Westro-Gothia para ver el nuevo canal que se está construyendo allí; pero no irán ahora á Gothemburgo, deja…</t>
  </si>
  <si>
    <t>Mogro, Josef</t>
  </si>
  <si>
    <t>Josef Mogro</t>
  </si>
  <si>
    <t>…tenientes coroneles D. Ra món de Amagada y D. Bartolomé Henriquez: los subtenientes D. Nicolás O ^res y Palafox y D. Ramón González: los subtenientes del Real cuerpo de artillería D. Josef Mogro y D. Santos Caravantes : el coronel de milicias Don Francisco González Palma: el capitán del Real cuerpo de ingenieros Don Francisco Alvarez: los capitanes D. Camilo Acuña, D. Manuel Unzueta y D. F rancisco Despot: el ayudante D. Aniceto Valverdet los tenientes Don Juan Ruiz Ordoñe…</t>
  </si>
  <si>
    <t>Mojon, J.</t>
  </si>
  <si>
    <t>J. Mojon</t>
  </si>
  <si>
    <t>…ueblos antiguos; obra traducida del francés: cinco tomos en 4.0 Se hallará á 80 rs. en papel en el al macén de la imprenta Real. Curso analítitode química, escrito en italiano por D. J. Mojon ,'|irdfesor de quí mica eri Já Real univérsidad de Génovatradticidó éñ castellano , é ilustrado con los descubrimientos mas modernos, por el doctor D. Francisco Carbonéll y Bravo, bo ticario honorario de cámara de S. M., catedrático de química &amp;c. La general…</t>
  </si>
  <si>
    <t>Molar, Josef</t>
  </si>
  <si>
    <t>Josef Molar</t>
  </si>
  <si>
    <t>-subteniente graduado de milicias sueltas D. Josef Molar..__T&gt;e la segunda división de milicias de la costa dei Norte. Los capitanes D. Josef Miguel Carballo, D. Francisco Sañudo y D. Pedro! Antonio Blasco; los teñiéntes P. Josef'Llórente, D. Josef Miguel Fernandez, D; Juan Bautista Vid al y D. Salvador García del*…</t>
  </si>
  <si>
    <t>Moles, Pedro</t>
  </si>
  <si>
    <t>Pedro Moles</t>
  </si>
  <si>
    <t>…s estampas que se hallan venales en la calcografía de la imprenta Real. En pliego de marca mayor. La caza del avestruz, por D. Blas Ametlier, á 40 rs.— La pesca del cocodrilo, por D. Pedro Moles, á 40. —El Cristo de. la Paz, por Carmona, i 20.Z: Diez vistas del Real sitio de Aranjuez, por D. Manuel Salvador Carmona, Selnia y otros buenos profesores, cada estampa á 20 rs. zz Jesús, María y Josef, del original de Morillo, á 12. QSe continuará.') En vir…</t>
  </si>
  <si>
    <t>Molina, Antonia de</t>
  </si>
  <si>
    <t>Antonia de Molina</t>
  </si>
  <si>
    <t>…vincia. x Seculares. D. Lorenzo Moreno, abogado de la Real audiencia de Charcas; Doña María Mercedes Moreno, su hermana; D. Lorenzo del Ribero , capitán de milicias de caballería; Doña Antonia de Molina, su muger; D. Juan Gualberto del Ribero, su hijo; una niña de cinco años, su nieta, llamada Mi-* caela; D. Mariano Riberos, alférez de milicias; D. Josef Manuel Ortiz, Don Bernardo Chaves, D. Ramón Chaves y D. Faustino Velasco. ! ■ ' Mozos sueltos. Josef Marí…</t>
  </si>
  <si>
    <t>Molina, Francisco Xavier López de</t>
  </si>
  <si>
    <t>Francisco Xavier López de Molina</t>
  </si>
  <si>
    <t>4i i Bover para que pueda usar de la condecoración de la flor de Lis con que le ha agraciado S. M. Cristianísima. Igual permiso ha concedido S. M. á los Sres. D. Francisco Xavier López de Molina, canónigo, dignidad de la Sta. iglesia de Olivares, y D. Juan González Tuñon, maestrante de la Real de Ronda, para que puedan usar de la misma condecoración con que también los ha agraciado S. M. Cristia nísima, La dirección general del Crédito publico en deb…</t>
  </si>
  <si>
    <t>Molina, Mariano</t>
  </si>
  <si>
    <t>Mariano Molina</t>
  </si>
  <si>
    <t>…án D. Fernando Puertas y el subte niente D. Miguel Culebras, heridos de gravedad; y el ayudante segundo Don Josef Ures herido. Regimiento Provincial de Toluca: el capitán graduado D. Mariano Molina muerto; y en la división auxiliar de Nueva-Galicia ha sido herido el ayudante del comandante general de ella. Asimismo han sido contusos el brigadier D. Domingo Estanislao de Loaces, coronel del regi miento infantería de Zaragoza, y varios oficiales. El Sr. D…</t>
  </si>
  <si>
    <t>Molina, Zvíanuel</t>
  </si>
  <si>
    <t>Zvíanuel Molina</t>
  </si>
  <si>
    <t>…ximo., y hora de las pueve de su mañana, en,casa de S. S. , para la junta general de acreedores á los bienes quedados por D. Jaime Filba. Se cita, llama y emplaza á Pablo Alvarez, D. Zvíanuel Molina y D. Manuel Ce lada, á cuyo favor aparecen los últimos endosos de tres vales de 150 pesos de i.° de: Enero de 1809, números 339714, 339944 y 340184, para que dentro del preciso* término de 30 días acudan ante el Sr. D. Angel Fernandez de los Ríos, del Conse-i jo de S. M., y…</t>
  </si>
  <si>
    <t>Moller</t>
  </si>
  <si>
    <t>T t C TJ 1.0 T&gt; H OFICIO. Rxv nuestro Señor se ha servido conceder la gran cru* de la Real y dismgida orden española de Carlos ixi al caballero Moller, contra-almirante de la armada imperial de Rusia, y encargado de la conducción de la escua dra adquirida por el Rbv para la España desde ios puertos de aquel impe rio hasta el de Cádiz; dando S. M. este testimonio público de su complacen cia en un acontecimie…</t>
  </si>
  <si>
    <t>…el consejero privado y senador príncipe Schakouskoy. Los individuos del cuerpo de la nobleza elegidos para asistir á este consejo fueron el montero mayor Mr. Narischkin, el mayor general Moller, el consejero privado y senador conde ChvostofF, el consejero de colegio barón Tscherkassoff, el mayor general AdadouroíF, el preboste de los comerciantes de Petersburgo Joukof. Los individuos del cuerpo de comer ciantes que concurrieron también á este consej…</t>
  </si>
  <si>
    <t>Momos, Ramón</t>
  </si>
  <si>
    <t>Ramón Momos</t>
  </si>
  <si>
    <t>…capitán D. Víctor Urquiza, que hallándose con su compañía avanzado, sostuvo un vivo fuego y las posiciones; hasta que fue auxiliado, y ha salido gravemente herido; á los tenientes Don Ramón Momos y, D. Juan Cabrera: á los subtenientes D. Luis Díeguez, que salió Jierido, D. Juan González y D. Alejandro García: á los sargentos pri meros de Castilla Francisco Saurco y Pedro González, y el segundo Fran cisco. Re umet :.á los cabos Bernardo.Perez,.Francisc…</t>
  </si>
  <si>
    <t>Mon</t>
  </si>
  <si>
    <t>…aron en el campo de batalla; el que hice reconocer por algunos prisioneros, y solo conocieron al gefe del estado mayor el coronel -Martínez, ai comanda n te de artillería teniente coronel Mon tes, al teniente coronel Valder fama á un inglés , ¿oinañdante del batallón Restaurador, á/Lecune, comandante de otro batallón. ■ ,,No puedo menos de recomendar á V. E. ál coronelD. Pedro Gonzá lez Villa, teniente coronel y comandante del batallón de Castilla…</t>
  </si>
  <si>
    <t>Mon, Andrés</t>
  </si>
  <si>
    <t>Andrés Mon</t>
  </si>
  <si>
    <t>…e dia destaqué una partida de 70 dragones de Espa ña y Querétaro al mando del teniente graduado de Zamora D.: Francisco Sanz, con los oficiales teniente D. Josef Vázquez y alférez D. Andrés Mon tero, de España, y los cadetes de Querétaro D. Juan de Dios de Escovedo y D. Manuel de Alday, con el objeto de que reuniesen la gente del Capulín, Sta. Ana y rancherías para violentar la fortificación de este punto tan intere sante al Real servicio. ,,A1 regr…</t>
  </si>
  <si>
    <t>Mon, Hugo de</t>
  </si>
  <si>
    <t>Hugo de Mon</t>
  </si>
  <si>
    <t>988 Continuación de las estampas que se hallan de tienta en la calcografía de la imprenta Real.zzz En medio pliego de marca mayor Cuaderno p.° D. Hugo de Mon eada, el Cardenal Silíceo, Bartolomé de Carranza, D. Antonio Covarrubias y Leiva, Antonio Perez, y D. Josef Pellicer: io. D. Pedro González de Mendoza, D. Mel chor de Macanaz, Fr. Francisco Ximenez de Cisneros, Vasco Nunez de Valboa, D. Josef Carrillo de Albo…</t>
  </si>
  <si>
    <t>Mon, Juan Nepomuceno</t>
  </si>
  <si>
    <t>Juan Nepomuceno Mon</t>
  </si>
  <si>
    <t>…aballería. Durante este ataque adelantaban aquellos el suyo , gánando las alturas que dominaban la posición de mi derecha; peró los bravos granaderos de la Union con su acreditado capitán D. Juan Nepomuceno Mon tero se ofrecieron á desalojarlos , acompañándolos la primera compañíá deí mismo éuérpo, mandando el todo el capitán de esta teniente coróne! D. Joa quín de .S. Martin , los que egecutaron Ja carga con tanto denuedo, qué ater raron al enemigo , haciéndole ret…</t>
  </si>
  <si>
    <t>Mon, Luis Fernando</t>
  </si>
  <si>
    <t>Luis Fernando Mon</t>
  </si>
  <si>
    <t>…ue por la sentencia se imponia á Ostos, para que en lo sucesivo se manejase con mas delicadeza en las contestaciones con los testigos ; como también la que se hacia á su de fensor D. Luis Fernando Mon, para que se sujetase á lo prevenido por laoiv denanza, porque ni aquel ni este cometieron los defectos sobre que se inten ta recaigan dichas prevenciones; y para resarcir á Ostos los perjuicios que ha sufrido con la duración de la causa, quiere S. M. que se…</t>
  </si>
  <si>
    <t>Mond, Saturninoi</t>
  </si>
  <si>
    <t>Saturninoi Mond</t>
  </si>
  <si>
    <t>…sido el teniente del Real cuerpo de ar-í tiííería D. Alejandro Olivan * el discípulo déhReálí colegio de,Farmacia&gt;D. Aíi~ tónio Moreno, y el álférez ?de fragata de la Real Armada D. Saturninoi Mond tojo; y después de estos Jos-Sres. D. Joaquín Blake y.subteniente áspiránte al ¿Real cuerpo de ingenieros., D* Manuel Pose, alférez del Real cuerpo de&lt;ii*± genieros ae la Armada, D. Angel Calderón de la! Barca, D. Manuel Domingo de Urquiza, D. Francisco Garcí…</t>
  </si>
  <si>
    <t>Mondragon, Joaquín</t>
  </si>
  <si>
    <t>Joaquín Mondragon</t>
  </si>
  <si>
    <t>…&gt;,Dío$ guarde á V. E. muchos años. Guadalajara Mayo 14 ¿¿1817.= Excmo.'Sr. = Josef de la Cruz. = Exento. Sr. virey D. Juan Ruiz de Apodaca.” Partes del comandante militar de Tepic D. Joaquín Mondragon. 2.0 ,, Excmo. Sr.: Acabo de recibir el juramento de lealtad y vasallage que han prestado á nuestro Rey y Sr. D. Fernando vil 200 y tantos hombres que al cargo de los principales cabecillas Gamboa , Fuentes , Cañas, Costilla y otros se me presentaron y rindie…</t>
  </si>
  <si>
    <t>Mondrágon-, Mariano</t>
  </si>
  <si>
    <t>Mariano Mondrágon-</t>
  </si>
  <si>
    <t>…n de la artillería, y el valor decidido dé los oficiales de dicho es cuadrón D. Josef Mariano Guerra, ayudante maybr. de él , teniente gradua do. D. ‘Cesáreo Medellin , y alférez. D. Mariano Mondrágon-, que con su valiente caballería persiguieron incesantemente al enemigó , ño me dejaron na da que desear » eümpliendd todos » porña con ios deberes de su empleo hasta que se concluyo la acción, qiie duró mas de dos horas. ,, La pérdida de los rebeldes ha sido…</t>
  </si>
  <si>
    <t>Monesterio, Ildefonso Matilde</t>
  </si>
  <si>
    <t>Ildefonso Matilde Monesterio</t>
  </si>
  <si>
    <t>…objeto de su destino; he tenido á bienr; én uso de las facultades que por Reales órdenes me están concedidas, determinarlo siguiente: ' : ;r Distrito de Estepóna. Primer ge fe ei coronel D. Ildefonso Matilde Monesterio; segundo gefe el capitán D. Juan Diez de Oñate. ■Este distrito se subdividirá en dos partidos al cargo de.un capitán, que se situarán en Estepona y Marbella. / ‘ •' i , Distrito de Málaga. . Primer gefe el Excmo. Sr. gobernador D. Rafael Trujilío, mariscal de…</t>
  </si>
  <si>
    <t>Monnier</t>
  </si>
  <si>
    <t>…&lt;$. ? r.-r-f. \ rb V, Lord Wellington ha tenido esta Imañana utia larga conferencia con eldoque .de 1Richelíeú , ministro de Negocios extrangeros 4. el embajador de BriiVia,&gt; y el barón Monnier, consejero de Estado , y presidente'de la Comisioii jnbtfa^ encargada de.la liquidación dé Ios créditos extrángeros. í H uí-v</t>
  </si>
  <si>
    <t>Montano, Josef Manuel</t>
  </si>
  <si>
    <t>Josef Manuel Montano</t>
  </si>
  <si>
    <t>…D. Rai mundo del Olmo, y por la izquierda al capitán D. Domingo Ugarte con 40 caballos , encargándole el mando de un cañón al tehiente D. Ignacio Nieto, .y el'Otro al subteniente D. Josef Manuel Montano; y marchando en buen ór*den hacia el enemigo, me reservé 40 granaderos para proteger y ayudar las guerrillas que necesitasen ser auxiliadas; peró el fuego activo de estas, la bue na dirección de la artillería, y el valor decidido dé los oficiales de dicho es…</t>
  </si>
  <si>
    <t>Montealegre, Josef Arenas</t>
  </si>
  <si>
    <t>Josef Arenas Montealegre</t>
  </si>
  <si>
    <t>…n el Real sitio de Aranjucz María Losada, muger de Manuel Herencia, se radicaron los autos correspondientes en el juzgado del asesor teniente gobernador del mismo, y escribanía de D. Josef Arenas Montealegre, en el cual, por no aparecer herederos conocidos de,aquella, se ha pedido y mandado, por providencia del día 17 dé Noviembre, fijar tres edictos jr anuncios por el término de 14 meses , para;que los qué se contemplen con derecho á sus bienes, aCúdan á deducir…</t>
  </si>
  <si>
    <t>Montealegre, Jósef Joaquín de</t>
  </si>
  <si>
    <t>Jósef Joaquín de Montealegre</t>
  </si>
  <si>
    <t>…sta y Ovierne, de esta vecindad, actual marquesa de Salas, y poseedora de dos de los mayorazgos fundados con apro bación del Consejo Real de S. M. de los bienes que dejó el Excmo. Sr. D. Jósef Joaquín de Montealegre, duque de este.título, se cita, llama y emplaza en primer lugar á D. Francisco Remigio del Valle, ó quien su acción represénte , y á cual quiera otra persona que tengan en su poder ó Ies hayan sido retenidas en él Real Banco Nacional de S. Carlos acciones per…</t>
  </si>
  <si>
    <t>Montealvo, Sebastian</t>
  </si>
  <si>
    <t>Sebastian Montealvo</t>
  </si>
  <si>
    <t>…ndose que algunos querían reunirse en lacinia del cer ro, desde donde fogueaban á la tropa, partieron á desbaratarlos el citado te niente coronel Díaz, el cápitan Armijo y alférez D. Sebastian Montealvo, verificándolo á continuación el teniente coronel D. Agustín Bustillos, con lo que se logró dispersarlos enteramente, quedando en nuestro poder las armas, parque y demas que aparece en la adjunta nota. : ,, Para manifestar a V; E. el brillante distinguido mér…</t>
  </si>
  <si>
    <t>…teniente d(8 dragones- fieles» del Potosí D. Pablo Martínez,, que mandó la reserva de 2o: hambres-, por stí valor bieir i acreditad©, puntualidad y eficacia en todo ; al alférez- D. Sebastian Montealvo por iguales circunstanciasal subteniente de Sto. Domingo.D. Pe dro Cortés por las mismas; ai facultativo D. Manuel Guillen y R„ P., cape llán Fr. Francisco Buey o,, que cumplieron respectivamente con sus deberes; siendo dignos) dél aprecio de&lt; V* los., sargen…</t>
  </si>
  <si>
    <t>Montemayor, Josef</t>
  </si>
  <si>
    <t>Josef Montemayor</t>
  </si>
  <si>
    <t>…starán, se cretario del Rey nuestro Señor , la hice escribir por su mandado. = Er duque del Infantado. = D. Arrdres Lasauca.srD. Ramón López Pelegrin.rrD Juan Benito Hermosilla. = D. Josef Montemayor. = Registrada, Aquilino Escu dero. == Teniente de canciller mayor , Aquilino Escudero. Circular de la Dirección general de Rentas. Por el ministerio de Hacienda con fecha de 8 del actual se nos ha comu nicado la Real orden siguiente: ,,Habiendo dado cuenta al…</t>
  </si>
  <si>
    <t>Montenegro, Isidoro</t>
  </si>
  <si>
    <t>Isidoro Montenegro</t>
  </si>
  <si>
    <t>…juntas electorales se congregarán en el mes de Setiembre próximo con el objeto de renovar la quinta parte de la Cámara de los Diputados. . r ESPAÑA. Madrid 29 de Mayo, V Los Sres. D. Isidoro Montenegro y D. Nicolás Vasallo, á nombre y re presentación del consulado de Alicante,han tenido la honra de dirigir al Re7 nuestro Señor el discurso siguiente: ,, Señor: El consulado de vuestra ciudad y puerto de Alicante llega hoy ú los pies del trono de V. M. con la expresión mas reveren…</t>
  </si>
  <si>
    <t>Montenegro, Joaquín Tenreiro y</t>
  </si>
  <si>
    <t>Joaquín Tenreiro y Montenegro</t>
  </si>
  <si>
    <t>…e del primer extracto de la de este dia á Doña Antonia Ramona Suarez, hija del patriota D. Pablo, muerto en el campo del honor. ARTICULO DE OFICIO. S. M. se ha servido confirmar á D. Joaquín Tenreiro y Montenegro, due ño jurisdiccional de varios cotos y pueblos del reino de Galicia, su gentil hombre , y coronel de milicias agregado al provincial de Lugo, la merced de título de Castilla, que á su nombre le concedió el Consejo de Regencia en 1810 para sí, sus hijos y su…</t>
  </si>
  <si>
    <t>Montenegro, Juan Sanjurjo</t>
  </si>
  <si>
    <t>Juan Sanjurjo Montenegro</t>
  </si>
  <si>
    <t>…or y D. Eusebio Moreno: el teniente coronel graduado D. Alejandro María Arango; y mis ayudantes de campo el capitán graduado D. Juan Basave, el alférez de na vio de la Real armada D. Juan Sanjurjo Montenegro, y el primer ayudante del Real cuerpo de cirugía D. Felipe Martínez, que atendió á su obligación con un zelo extraordinario. Asimismo hace el comandante los mayores elogios de la constancia he roica de la tropa. Razón de los muertos, heridos y contusos que tu…</t>
  </si>
  <si>
    <t>…para emprender su retirada, montando sus heridos en las mismas muías en que habían conducido basta allí dichas cargas. Mi ayudante de campo el al férez de navio de la Real armada D. Juan Sanjurjo Montenegro reconoció la operación indicada de quemar aquellos efectos, y al retirarse el enemigo la ratificó por declaraciones de varias personas. ,,Este mismo reconocimiento me proporcionó examinar la pérdida de! enemigo, cuyo número de muertos ascendió á 95, contados…</t>
  </si>
  <si>
    <t>Montero, Andrés</t>
  </si>
  <si>
    <t>Andrés Montero</t>
  </si>
  <si>
    <t>…menos de recomendar á V. S para que lo haga á S. E. el mérito que han contraído los oficiales teniente graduado D. Francisco Sanz, el de igual clase D. Josef Vázquez y el alférez D. Andrés Montero, ambos .de dragones de España, el sargento del mismo cuerpo Josef Garícano y el ¡cadete de Querétaro D. Juan de Dios de Escovedo, que hace de ayudante de</t>
  </si>
  <si>
    <t>Montero, Manuel</t>
  </si>
  <si>
    <t>Manuel Montero</t>
  </si>
  <si>
    <t>…tiempo de su vida, á D. Antonio Baltasar Millati de mas de 81 años de edad. Los pretendientes dirigirán sus memoriales hasta el 15 del corriente al procurador síndico general Lie. D. Manuel Montero. Observaciones sobre la naturaleza y virtudes de las aguas minerales de Trillo, por el médico director por S. M. de ellas D. Josef María Brull, proto-médico que fue del egército de reserva, y socio de mérito de la Real sociedad médica de Sevilla. Se hallará e…</t>
  </si>
  <si>
    <t>Montero, Narciso</t>
  </si>
  <si>
    <t>Narciso Montero</t>
  </si>
  <si>
    <t>…lar de 19 de Junio de 1815 debía disfrutar como cuarta parte del sueldo qué gozaba cuando ceso en aquel destino, y que se publique en la gaceta para sa tisfacción del interesado. D. Narciso Montero pasó á las Américas el año de 1796, donde ha fallecido, dejando á su hijo D. Fernando en poder de D. Nicolás Ferrari, ayuda de cámara que era del Sermo. Sr. Infante D. Antonio; y teniendo dicho' D, Fernando derecho conocido á cierto mayorazgo que poseyó Doña…</t>
  </si>
  <si>
    <t>Montero, Sinforosa</t>
  </si>
  <si>
    <t>Sinforosa Montero</t>
  </si>
  <si>
    <t>…s, provincia de Burgos, se da este aviso para si existe que comparezca, ó persona á su nombre, en la librería de Quirós, donde se dará mas razón, ó en la ciudad de Burgos, casa de Doña Sinforosa Montero. Se suplica á la, persona que supiese del paradero de Doña María Gutiérrez, hija de D, Diego, natural de Cienpozueios, ,y de Doña Concepción Dorado, natural de esta corte, ya difuntos, la cual tiene dos hermanos llamados D.; Félix y D. Lean dro, que se sirva…</t>
  </si>
  <si>
    <t>Monterroso, María</t>
  </si>
  <si>
    <t>María Monterroso</t>
  </si>
  <si>
    <t>…con apercibimiento que de no hacerlo Ies parará el perjuicio que haya lugar. Se solicita saber el. paradero de Doña María Lor^to Bueno y Monterrosó, hija de D. Salvador Bueno y de Doña María Monterroso, naturales de la ciudad de Ecija, ó de sus hijos en caso de su fallecimiento , mediante á tener en la villa de Bornós, arzobispado de Sevilla, parte de una herencia que se halla en poder delps demás he rederos, y qué se presentarán á percibir en el térmínbTdé…</t>
  </si>
  <si>
    <t>Montesdeoca, Eugenio</t>
  </si>
  <si>
    <t>Eugenio Montesdeoca</t>
  </si>
  <si>
    <t>…= Excmo. Sr. virey D. Júan Ruiz de Apodaca.” Lista que cita el aparte anterior de los presentados á indulto con Vargas en lolúca. ' ‘ ‘ ' . D. Vicente Vargas, titulado brigadier ; D. Eugenio Montesdeoca , id. sargento mayor. Infantería, D. Josef María Sosa, id. capitán; D. Miguel Loranca, id. teniente ayudante; D. Mariano Astorga/ ¡di id.; D. Narciso Ríos , id. id.; Miguel Somoza, sargento primero; Josef María Vargas, id. id¿; Josef María Gutiérrez; id. segu…</t>
  </si>
  <si>
    <t>Montesino, Pablo</t>
  </si>
  <si>
    <t>Pablo Montesino</t>
  </si>
  <si>
    <t>…lmendralejo; el de Sotan de Cabras D. Josef López Menchero en esta corte, ?CaVia baja’, núm. 25, cuarto 2.°, hasta mediados de Mayo, que saldrá de aquí á su desfino; el de Ledesma D. Pablo Montesino en Valencia de Alcántara, y el de Alama D. Ramón Marconell en Calatayud: 6° y último que las personas que quieran cóhsultar con los referidos profesores sobse si podrá ó 'no converiirles el 'beber alguna -de las aguas anunciadas, ó bañarse én ellas an.tes de…</t>
  </si>
  <si>
    <t>Montoya, Eelipe de</t>
  </si>
  <si>
    <t>Eelipe de Montoya</t>
  </si>
  <si>
    <t>…Sr. D. Luis de Borbon, cardenal de Scala, arzobispo de Toledo, y asistentes el Excmo. é limo. Sr. D. Gerónimo Castillon y Salas, inquisidor general, obispo de Tarazona, y el limo. Sr. D. Eelipe de Montoya, obispo de Teruel. SS. MM. y AA. RR. asistieron á tan augusta función en sus tribunas. El Sermo. Sr. Infante D. Carlos María se dignó honrar á su maestro y confesor,. siendo su padrino secular personalmente, dando con este rasgo de piedad y de religión, y con…</t>
  </si>
  <si>
    <t>Montoya, Francisco</t>
  </si>
  <si>
    <t>Francisco Montoya</t>
  </si>
  <si>
    <t>…ntados desde esta publicación^ comparezcan por sí ó por medio de apoderado ante el Sr. D. Tadeo Soler, alcalde; decano de la Real Casa y Corte, y por la escribanía de provincia de D. Francisco Montoya, á deducir y exponer del derecho que crean tener á dichos vales; con apercibimiento que pasado el término señalado sin haber comparecido les parará el perjuicio que haya lugar. En virtud de varios memoriales que ha recibido la junta directiva de la academia d…</t>
  </si>
  <si>
    <t>…autorizado en debida forma ante el Sr. D. Manuel Josef de Arbizu, del Consejo de S. alcalde de la Real Casa y Corte, por la escribanía de provincia que despacha por ha^ bilitacion D. Francisco Montoya, í decir y alegar de su derecho en razón de la legí tima pertenencia de dichos vales; con apercibimiento que pasado el término señala do sin haber comparecido se procederá á lo que en justicia corresponda, sin mas citar les ni emplazarles, parándoles todo per…</t>
  </si>
  <si>
    <t>…ará el curso que corresponda, y les parará el perjuicio que haya lugar. . Por el juzgado del Sr, D. Manuel Josef de Arbizu, y escribanía de provincia que despacha por habilitación D. Francisco Montoya, .se está subastando para pagó dé acreedores una casa, sita en la calle de Atocha, accesoria á la de S. Ildefonso de está corte, señalada con el niun. 4, de la manz. 4, comprensiva de 5191 píes de sitio, tasada en 302212 rs., dan por ella las dos terceras par…</t>
  </si>
  <si>
    <t>…. 265 , tasada en 181 220 rs. La persona que quiera hacer postu ra acuda en el término de 15 días ante dicho, señor' potóla yscribanía de provincia, que despacha por habilitacibri D. Francisco Montoya , qüése admitirán las que se ha -, gan siendo arregladas.— Sé cita, llamá y empláza á las personal que tengan, derecho á los bienes quedados por el fallecimiento intestado de Pona Vicenta García de Santáyana j para que en el término de 30 dias comparezcan á d…</t>
  </si>
  <si>
    <t>Mor, Felipe</t>
  </si>
  <si>
    <t>Felipe Mor</t>
  </si>
  <si>
    <t>…batallón de la Reina, el teniente D. Josef Rom y subteniente D. Pedro Fernandez levemente heridos, con 14 soldados mas; del batallón de Clarines 5 soldados muertos, y el te niente D. Felipe Mor fe y 13 soldados heridos; de. las compañías de Cam pano 2 soldados muertos, y herido el teniente D. Juan Martínez y ó soldados. „No puedo menos de recomendar á V. E.; el valor y resolución de la oficialidad y tropa de mi mando, y con particularidad del mérito…</t>
  </si>
  <si>
    <t>Mora, Agustín</t>
  </si>
  <si>
    <t>Agustín Mora</t>
  </si>
  <si>
    <t>…rse, lo que verificó rompiendo el fuego por ambas partes forzando los parapetos enemigos. Visto esto por el teniente D, Ignacio Prie-í to, que con el alférez D. Ramón de la Cruz y D. Agustín Mora y 30 hom bres lo había puesto al freute del fortín del Calvario , atacó inmediatamente* á este con 15 dragones pie á tierra con Mora, quedándose el resto á caballo^ que á los pocos thomentos asaltaron ef parapeto, siendo víctimas del furor de la cuchilla los…</t>
  </si>
  <si>
    <t>…eguían su movimiento hacia las trincheras preten diendo reunirse, lo que novpudieron conseguir, en atención*á que Inmediata-: mente despaché én su persecución al alférez ¡graduado D. Agustín Mora coo</t>
  </si>
  <si>
    <t>Mora, Agustin</t>
  </si>
  <si>
    <t>Agustin Mora</t>
  </si>
  <si>
    <t>…ue según su movimiento Internaban querer entrar en las trincheras, lo que no pudieron conseguir .en atención á que inmediatas mente despaché en su persecución al alférez graduado. D. Agustin Mora con 20 dragones, cuya vista hizo replegar á los enemigos en dispersión al cerro de la Goleta , retirándose la partida por ser infructuoso seguirlos, dejando destacado en aquel punto, para que en caso de necesidad fuese protegida, nná zetaguardia, al sargento…</t>
  </si>
  <si>
    <t>Moraleda, Baldomcro</t>
  </si>
  <si>
    <t>Baldomcro Moraleda</t>
  </si>
  <si>
    <t>…54881 rs. La persona que quisiere hacer postura acudirá dentro de dicho término por la audiencia del citado señor y escri banía de provincia vacante de D. Simón Ruiz, que despacha D. Baldomcro Moraleda, donde se admitirán las que se hicieren siendo arregladas. . A instancia de los interesados en la testamentaría del difunto D. Ignacio de Roo, por el Sr. D. Hermenegildo Rodríguez de Ribera, del Consejo de S. M., su oidor en la Real audiencia de Sevilla, y ju…</t>
  </si>
  <si>
    <t>Moraleda, Baldomero</t>
  </si>
  <si>
    <t>Baldomero Moraleda</t>
  </si>
  <si>
    <t>…gar. &gt; En virtud de providencia del Sr. D. Manuel Fernandez Gamboa , del Consejo de S. M., alcalde de su Real Casa y Corte, de 24 del pasado, refrendada del escribano de provincia D. Baldomero Moraleda, se cita, llama y emplaza á los Sres. Galarza y Goicochea, compañía de Balmaseda é hijo, D. Julián Josef Gancedo y D. Josef Dionisio de Ugarte para que dentro del término de 15 dias, contados desde la publi cación de este aviso, que por equidad, único y últim…</t>
  </si>
  <si>
    <t>Moraleda, Vaidomero</t>
  </si>
  <si>
    <t>Vaidomero Moraleda</t>
  </si>
  <si>
    <t>102. O vPór providencia del Sr. D. Manuel Fernandez Gamboa, del Consejo de S. M., alcalde de su Real Casa y Corte, de i.° del corriente mes, refrendada del.escriba no de provincia D. Vaidomero Moraleda, se señala el jueves z z del mismo en la au diencia de dicho señor, y hora de las i z del día, para el remate de la casa que pertenece á la testamentaría de D. Josef Ferreti Caracciolo, sita en esta corte calle del Conde Duque, que vuelve á la de S. Dimás» y…</t>
  </si>
  <si>
    <t>Moraleda, Valdomefó</t>
  </si>
  <si>
    <t>Valdomefó Moraleda</t>
  </si>
  <si>
    <t>…n su rebeldía la providencia que se juzgue en justicia. , , En ej juzgado del Sr. D. Manuel Fernandez Gamboa, alcalde de la Real Ca$a y} Corte, y por la escribanía de provincia de D. Valdomefó Moraleda, están radicados y pendientes autos de testamentaría por la fin y muerte de D. Jósef Ferfeti y Caracciolo,- vecino que fue de esta villa, á la que perrenece una casa sita en ella &gt; y'ca lle del Conde Duque, señalada con el núm. 3, manz. 358 ;. como excitado F…</t>
  </si>
  <si>
    <t>Moraleda, Valdomero</t>
  </si>
  <si>
    <t>Valdomero Moraleda</t>
  </si>
  <si>
    <t>alcalde de su Réal-Casa y Córte f sui fecha *8 de Julia próxima pasado. de esté año,? fardada,/leí. escriba nodje provincia D. Valdomero Moraleda &gt;~se cría, Mamá; v em-plaza a todas y cualesquier personas que se crean con derecho á los bienes quedados por fallecimiento intestado de Doña María Catalina Caballero, natural de la ciudad de PJasencia, y. vecina que fue de esta corte, para que en el término…</t>
  </si>
  <si>
    <t>…tud'de providencia del Sr. D. Manuel -Fernandez. Gamboa, del Consto de Si M. , alcaide de su Real Casa'y Gorfe ,' su; fecha 5 -debcón-jente * refrán dád a del cribano de provincia D. Valdomero Moraleda, ante quien está radicado el juicio; de testamentaría de D. Josef Ferreti £!aracc¡oÍo ,vy de conformidad de varios acreedpref censualistas y otros, se vende una casa correspondiente! ella sita en esta corte, calle del Conde Duque, que vuelve á la de S. Dimas,…</t>
  </si>
  <si>
    <t>Morales, Francisco Javier</t>
  </si>
  <si>
    <t>Francisco Javier Morales</t>
  </si>
  <si>
    <t>…ios egemplares de las obras de Hugo Blair, Muratori, íriarte, Huerta, Florez y Samaniego,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 Martin Saenz, de Lebrija: Don Fraiieised1 González y D. Josef Martínez , de San…</t>
  </si>
  <si>
    <t>Morales, Francisco Tomas</t>
  </si>
  <si>
    <t>Francisco Tomas Morales</t>
  </si>
  <si>
    <t>…evisión, actividad y zelo á conservar el orden y serenidad con que se ha hecho esta brillante jornada. „ Igualmente estoy muy reconocido á los importantes servicios del briga dier D. Francisco Tomas Morales, que también seguía en el cuartel general, y se ha empleado en las acciones mas arriesgadas con mucha utilidad, batién dose, personalmente con los rebeldes. ,,Son dignos de la atención de V* E. el coronel comandante de húsares de Fernando vn E). Juan Juez , y…</t>
  </si>
  <si>
    <t>…e los cuales no pudo ílegar ninguno á Maracay, donde ténian la fuerza prin cipal, compuesta de 1200 caballos y un corto batallón de infantería. Estos se acometieron por el bizarro brigadier D. Francisco Tomas Morales, que los cargó en das calles del mismo pueblo con los dragones de la Union y es cuadrón de-Guias det General, batiéndolos completamente, dispersándolos en tedas direcciones , después de matarles mas de 2 50, cogiéndoles una ban dera , 4o cargasde municiones,…</t>
  </si>
  <si>
    <t>…los bandos que publicó, y tenemos en nuestro poder, como también reuniendo los dis persos de las acciones en que habían sido batidos los caudillos Paez y Bolívar, .dispuse que el brigadier D. Francisco Tomas Morales, comandante general de los Llanos, le persiguiese y alcanzase á toda costa para destruir esta ultima cuadrilla de malvados; y en efecto el expresado brigadier, con fecha de 20 del actual, me dice desde el cerro de los Patos lo siguiente: ,, Excmo. Sr.: Ahora…</t>
  </si>
  <si>
    <t>…merciantes y agricultores de esta capital que han contribui do: graciosamente para las 1041 gorras, 2 clarines y una corneta que se han remitido para el servicio de las tropas del brigadier D. Francisco Tomas Morales. ■ • El conde de la Granja 6 pesos, D. Pablo Echezuria 10, D. Francisco de Azpurua 20 , D. Juan Santos de Larrazabal 5, D. Josef Jesús Goenaga 10, D. Miguel Martínez 5, D. Pedro Aguerrebere 5, D. Domingo Segura 5 , Don Bartolomé Echenique 5 , D. Toribio Espin…</t>
  </si>
  <si>
    <t>Morales, Ildefonso</t>
  </si>
  <si>
    <t>Ildefonso Morales</t>
  </si>
  <si>
    <t>…esión de ciada dia,1 precedida censura y calificación' de los maestros examinadores, á Jos siguientes: Á D. Josef del Ribero, maestro de la Real escuela del barrio de Sta. Cruz: ¿ D. Ildefonso Morales, maestro de la Real escuela del barrio de S. Nicolás: al Dr, D. Vicente Aso, presbítero, maestro de ía Real escuela del barrio de S.'Marcos: á D. Francisco Lorrío, maestro de la Real escuela del barrio de Buenavista: á D. Tomas* Rodríguez, maestro de la Real…</t>
  </si>
  <si>
    <t>Morales, Josef Rebollo y</t>
  </si>
  <si>
    <t>Josef Rebollo y Morales</t>
  </si>
  <si>
    <t>…la mañana , en la pósada de dicho señor juez comisionado. ;/ . Curso completo elemental de matemáticas puras, compuesto én-francés por S. F,J Lacroix, traducido al castellano por D. Josef Rebollo y Morales, catedrático de los caballeros pages de S„ M, Este curso, que se comienza á dar á luz en nuestro idió-5 nía, comprende la aritmética, el álgebra, la geometría llamada elemental, y la des criptiva, las trigonometrías rectilínea y esférica, la aplicación del ál…</t>
  </si>
  <si>
    <t>Morci, Juan María</t>
  </si>
  <si>
    <t>Juan María Morci</t>
  </si>
  <si>
    <t>…sus hijos y sucesores perpetuamente en ia forma ordinaria. Por Real resolución de 16 del presente mes, á consulta del Consejo supremo de la Guerra, se ha servido S. M. conceder á D. Juan María Morci llo Quevedo, practicante primero de cirugía que fue en la última campaña, el fuero militar, y uso de uniforme de la clase en que sirvió, que le corres ponde como comprendido en el artículo 2.0 de la circular de 19 de Junio de 1815; declarando al mismo tiempo…</t>
  </si>
  <si>
    <t>Moreau</t>
  </si>
  <si>
    <t>…Bitche y Sarguemines , donde pasar rá revista al cuerpo bávaro que manda el general Delamote, Las cartas de Dresde dicen que el Emperador de Rusia ha mandado eri gir en honor del general Moreau un monumento, á legua y media de Dresde, en el mismo sitio en que fue muerto aquel general el dia 27 de Agosto de 3 813. ESPAÑA. * México 4 de Marzo. , Continuación de los partes de Nueva-España. „Excmo. Sr.: Paso á manos de V. E. para su debido superior cono</t>
  </si>
  <si>
    <t>Móreno</t>
  </si>
  <si>
    <t>…ron recibidos con el mayor valor por la tropa que mandaba el teniente coronel Bustamente; lo que observado por mi, man de que toda la fuerza que tenia de reserva á las órdenes del capitán Móreno fuera con la mayor violencia á protegerle. A continuación recibió también fa derecha y centro muy cerca ae 1© bandidos, los que fueron rechazados con igual valor, y en términos de que habiéndose hecho general la acción, y no pudiendo resistir el enemigo el va…</t>
  </si>
  <si>
    <t>Moreno, Antonia</t>
  </si>
  <si>
    <t>Antonia Moreno</t>
  </si>
  <si>
    <t>…ones á una de las huérfanas de los militares o patriotas que hubiesen muerto en defensa de ía justa causa de la nación, ha cabido en suerte del primer extracto de la de este dia á Doña Antonia Moreno , hija del patriota D. Joaquín, muerto en el campo del honor. ARTICULO DE OFICIO. Circular de la primer secretaría de Estado á las de Guerra, Marina, Gra^ cía y Justicia, Hacienda y al Consejo Real. ,, Las noticias oficiales recibidas hoy de Gibraltar y Andal…</t>
  </si>
  <si>
    <t>Moreno, Custodio</t>
  </si>
  <si>
    <t>Custodio Moreno</t>
  </si>
  <si>
    <t>…que se observa en dicho establecimiento, y los rápi dos progresos que han hecho los alumnos del mismo en el poco tiempo que ha mediado desde su apertura. ♦ El académico de mérito D. Custodio Moreno, catedrático de geometría, á la entrada de SS. MM. y AA. leyó un discurso, en el cual, contrayéndose concisamente al objeto mas esencial que le motivaba , manifestó el entusiasmo con que se repetiría en las generaciones futuras el augusto nombre de S. M., rec…</t>
  </si>
  <si>
    <t>Moreno, Francisco Javier</t>
  </si>
  <si>
    <t>Francisco Javier Moreno</t>
  </si>
  <si>
    <t>…cía. Habían precedido á este lucidísimo certamen publico dos dias de exámenes secretos, en que los presbíteros D. Cristóbal Romero Hidal go , IX Juan Sánchez Barrancos y el censor D. Francisco Javier Moreno, asis tidos del catedrático, según previene la ordenanza del establecimiento, exa minadas con la mayor imparcialidad todas sus decurias, adjudicaron los pre mios á los mas beneméritos en cada una. Dió principio al acto público el alumno D. Benito de Salas Vid…</t>
  </si>
  <si>
    <t>Moreno, Josef María</t>
  </si>
  <si>
    <t>Josef María Moreno</t>
  </si>
  <si>
    <t>…que le protegiera ea caso necesario. De reserva nombré los piquetes de infantería de la Corona y Celaya, caballería de Provincias y dragones de S. Cárlos y Querétaro al car go del capitán D. Josef María Moreno. Colocado todo en este orden, y ya á distancia de poco mas de mil pasos del enemigo, dispuse marchar en cokimnapor Iá derecha para flanquearle el costado izquierdo , y también pa^a entorpecerle el plan que tenia dispuesto, lo que se logró, porque á pocos ins…</t>
  </si>
  <si>
    <t>Moreno, Lorenzo</t>
  </si>
  <si>
    <t>Lorenzo Moreno</t>
  </si>
  <si>
    <t>…cura de Santiago ¿ provincia de Chiquitos; D. Francisco Xavier López, cura de S. Rafael en dicha pro vincia ; D. Juan Lorenzo de Limpias, ex-cura de dicha provincia. x Seculares. D. Lorenzo Moreno, abogado de la Real audiencia de Charcas; Doña María Mercedes Moreno, su hermana; D. Lorenzo del Ribero , capitán de milicias de caballería; Doña Antonia de Molina, su muger; D. Juan Gualberto del Ribero, su hijo; una niña de cinco años, su nieta, llamada Mi-…</t>
  </si>
  <si>
    <t>Moreno, María Mercedes</t>
  </si>
  <si>
    <t>María Mercedes Moreno</t>
  </si>
  <si>
    <t>…ier López, cura de S. Rafael en dicha pro vincia ; D. Juan Lorenzo de Limpias, ex-cura de dicha provincia. x Seculares. D. Lorenzo Moreno, abogado de la Real audiencia de Charcas; Doña María Mercedes Moreno, su hermana; D. Lorenzo del Ribero , capitán de milicias de caballería; Doña Antonia de Molina, su muger; D. Juan Gualberto del Ribero, su hijo; una niña de cinco años, su nieta, llamada Mi-* caela; D. Mariano Riberos, alférez de milicias; D. Josef Manuel Ort…</t>
  </si>
  <si>
    <t>Morgado, Antonio</t>
  </si>
  <si>
    <t>Antonio Morgado</t>
  </si>
  <si>
    <t>…rina y Valdivia de la dotación de los buques de S. M., que componían el total de 550 infantes y 218 caballos con 4 cañones volantes. La segunda, al mando del coronel de caballería D. Antonio Morgado,compuesta déla reunión dein-fantería y caballería de Chile, voluntarios de los Angeles,-y dragones de Chi llan , con la fuerza de 110 infantes y 278 caballos con dos cañones de á 4. „ Para combinar bien el ataque despaché mis órdenes con anticipacional tenien…</t>
  </si>
  <si>
    <t>Morgado, Francisco Xavier</t>
  </si>
  <si>
    <t>Francisco Xavier Morgado</t>
  </si>
  <si>
    <t>…se indicaron aprobadas por: S. M., y se manifestarán en la escribanía de Cámara del mismo. Por providencia del consulado de Cádiz de 6 del corriente se avisa á los. acree dores de D. Francisco Xavier Morgado y compañía, para que en el preciso y pe rentorio término de tres meses acudan i legitimar sus créditos j con prevención de, que no haciéndolo,6e verificarán los pagos sin responsabilidad, y parándoles entero perjuicio. La plaza de médico titular de la villa d…</t>
  </si>
  <si>
    <t>Mori, Pablo</t>
  </si>
  <si>
    <t>Pablo Mori</t>
  </si>
  <si>
    <t>…visión, pues cada uno de por sí lia pasado de los lími tes del deber. Dios guarde a V. E. muchos años. Calvario 8 de Diciembre de 1817. = Excmo. Sr. = Miguel de la Torre. = Excmo. Sr. D. Pablo Mori llo , general en gefe del egércrtó expedicionario.1’ El expresado general en gefe recomienda el mérito que ha contraído el brigadier D. Miguel de la Torre, como igualmente la conducta del regimiento5 de húsares de Fernando vir, y de lós batallones de Castilla…</t>
  </si>
  <si>
    <t>Morillo</t>
  </si>
  <si>
    <t>…a de guerra de S. M. nombrada la Ninfa hasta pasada la desembocadura del canal, y que la fra-r gata seguía con destino á Puerto Cabello con dinero y armamento para el egército del general Morillo, debiendo hacer escala en la isla de PuertoricoAsimismo reliere dicho capitán que 15 dias antes de su salida se supo en Ja Havana por cartas contestes que se recibieron de Veracruz que Mina había sido derrotado completamente, y herido en una rodilta. Madrid 2…</t>
  </si>
  <si>
    <t>…en las reñi das acciones que quedan publicadas en este perióaico, se hallaban reducidos á sus fortalezas de la ciudad de la Asunción y del Norte. En este estado re cibid aviso el general Morillo de haberse visto obligado el brigadier D. Mi guel de la Torre á evacuar la capital de la Guayana, tanto por la suma es casez de fuerzas y víveres que tenia, como para salvar los muchos buques que había en-el puerto, y reunir las fuerzas que quedaban para opon…</t>
  </si>
  <si>
    <t>…817.2 Lino Genaro de la Rocque. = $r. capitán general de Caracas.” El administrador de Correos dé Caracas , que remite lá anterior gaceta ex traordinaria, añade lo siguiente: ,,E1 general Morillo se halla en las inmediaciones dél rio Apure, donde hay un fuerte cuerpo de rebeldes ai mandó de un tal Paez, titulado general de ellos, y esperamos un feliz resultado de'lá acción que se va á dar.’* El comandante del bergantín Almirante teniente de navio D. G…</t>
  </si>
  <si>
    <t>876 . . general Morillo de "haber fallecido de resultas de sus heridas el benemérito co ronel D. Francisco Ximenez. En virtud de providencia del Sr. D. Francisco Cándido dé Paz, del Consejo de S. M., y alcalde de su Real Casa y Corte, dada en 7 del presente, se ha mandado sacar á pu…</t>
  </si>
  <si>
    <t>Morillo, Di Pablo</t>
  </si>
  <si>
    <t>Di Pablo Morillo</t>
  </si>
  <si>
    <t>…eno de su herida^ se prepárá pa^*. ra1 continuar -la«campaña*”;¡ '&gt; •* \ v ■ f -•&gt; ¡1 Asimismo-con-referencia á uri p^rte del comandante D. Miguel de la Tor re 'dirigido al Exbmo./Sr. Di Pablo Morillo, se han publicado áqui las noticias&gt;síguieátes1 r:"&gt;1 cf-íV/ -&lt;i , oíüH'jK •' )/•(;: V r., r .* * ,,En la 'madrugada del i de Mayo salió dicho comandante de S. Cárlos con dirección á Cógede*, dónde presumía encontrar á los enemigos: marcho seis leguas» hasta…</t>
  </si>
  <si>
    <t>Morillo, Pablo</t>
  </si>
  <si>
    <t>Pablo Morillo</t>
  </si>
  <si>
    <t>…ién láminas cuando son necesarias para inteligen cia del texto. Se suscribe en casa de Arthus Bertrán, librero, calle de Hautefeuiilc &gt; núm. 23. ESPAÑA. Caracas 23 de Setiembre. - D. Pablo Morillo, teniente general de los Reales egércitos, caballero gran Cruz de la Real orden americana de Isabel la Católica , general en gefe del egército expedicionario de la Costa-firme, y encargado especial por S. M. para su pacificación &amp;c. &amp;c. A LOS PUEBLOS DE VENEZ…</t>
  </si>
  <si>
    <t>…e la escuadrilla Real de Venezuela avisa al Excmo. Sr. Secretario del Despacho de Marina , con fecha de 12 de Setiembre último, que el general en gefe del egército expedi cionario D. Pablo Morillo ha declarado bloqueadas las costas de Guiria y bocas del Orinoco; lo cual se avisa ai público para su conocimiento. El buque ingles llamado el Tigre, navegando de la isla Barbada á Liver* pool el 14 de Marzo de 1816, á las 10 de la mañana, pasó sobre una mar…</t>
  </si>
  <si>
    <t>…teniente D. Josef de la Torre, y del cabo primero Elias de S. Vicente. „Dios guarde á V. E. muchos años. Pueblo de Apurito Setiembre 4 de 1817. = Sebastian de la Calzada. = Excmo. Sr. D. Pablo Morillo.” 2,° Del capitán D. Bartolomé Martínez al Sr, capitán ¿eneral interino. ,,E1 dia 2 del corriente, á las tres de la tarde, tuve aviso que había lle gado á Tocoragua un grupo grande de caballería enemiga, por lo que inme diatamente envié i reconocer para salir…</t>
  </si>
  <si>
    <t>ñrme é isla de Margarita, remitidos por el teniente general D. Pablo Morillo, los cuales se irán publicando sucesivamente. parte* del comandante general de la quinta división coronel D. Sebastian Correa. 1. ° ,,Excmo. Sr.: Tengo la satisfacción de participar á V. E. como esta ma ñana á las i i de elld ha sido batido un escuadrón, de r…</t>
  </si>
  <si>
    <t>…e Arens, en lastre, X5 idem. Madrid 13 de Febrero. ARTICULO DE OFICIO. El Excmo. Sr. Secretario de Estado y del Despacho de la Guerra ha re cibido el siguiente oficio del teniente general D. Pablo Morillo con el parte que le acompaña: „ Excmo. Sr.: Remito á V. E. el adjunto parte que me ha dado el te niente coronel D. Francisco Ximenez, comandante del batallón de Clarines, por el que se enterará V. E. de la bizarría con que las tropas que están á su mando se h…</t>
  </si>
  <si>
    <t>…stillo. j»Lo que comunico á V. E. para su conocimiento. Dios guarde á V. E. muchos años. Güiria 28 de Agosta de 1817.= Excmo. Sr.rr Francisco Ximenez. = Excmo. Sr. general en gefe D. Pablo Morillo.”' El Rey se ha servido nombrar á D. Hemeterio López y Blanco para la vara de alcalde mayor segundo de la ciudad de Barcelona. Habiendo fallecido ei* Ménico el escuítor honorario de Cámara D. Ma nuel Tolsat director de escultura de la Real academia dé S. Carl…</t>
  </si>
  <si>
    <t>…de resultas de los descubrimientos que se‘esperan de esta expedición.:' 1 • ESPAÑA. Madrid 6 de Abrilé Entre los triunfos debidos á las,tropas expedicionarias &gt; que al mando, deí general D. Pablo Morillo han restablecido el orden y el sosiego en varios puntos de la América , nq es, el-menor haber salvado, los innumerables objetds de Historia natural que forman Ja rica colección del célebre naturalista Don Josef Celestino Mutis y pues á no ser por su diligenci…</t>
  </si>
  <si>
    <t>…n parte la felicidad pública, qoe tan de cididamente promueve y fomenta el Rey nuestro Señor para bien de sus va sallos con su soberana protección. ARTICULO DE OFICIO. El teniente general D. Pablo Morillo, general en gefe del egército expe dicionario de Costa-firme , con fecha de 26 de Febrero último desde el cuar tel general de la villa de Cura dice ai Excmo. Sr. Secretario de Estado y del, despacho de la Guerra lo que sigue: ,, Hallándome en el pueblo de la…</t>
  </si>
  <si>
    <t>…rno de Chocó , propia de Don Ignacio Hurtado, el Cual lleno de los mas nobles sentimientos en favor de las ciencias naturales, le presentó el 10 de Octubre de 1816 al Excmo. Señó? D. Pablo Morillo, para que lo remitiese á S. M., y el general D. Pascual Enrile lo trajo á España con todo lo demas perteneciente á. la enunciada ex pedición botánica de Mutis, dando la honrosa comisión de presentarlo á S. M. al capitán D. Antonio Wan-Halen, encargado de la c…</t>
  </si>
  <si>
    <t>…ndo de la mejor Salud. Gracias al Altísimo toda la Regencia 3e halla libre del mal asolador que de tan cerca la amenaza. ESPAÑA. Madrid 3 de Julio. ARTICULO DE OFICIO. El teniente general D. Pablo Morillo , general en gefe del egercito expe dicionario de Costa-firme, con fecha de 11 de Diciembre ultimo remite al Excino. Sr. Secretario del Despacho de la Guerra copia del parte del briga dier D. Miguel de la Torre acerca de la acción del hato de la Hogaza, del q…</t>
  </si>
  <si>
    <t>…én' eí^ superior c&lt;ynociniÍ€iito dé-V.' S. para su sa tisfacción y la de ese fiel vecindario. ,,Dios &amp;c. S. Carlos 3 de Abril de 1818.= Ramón González. = S. C. G.^ 2° Del'Excmo.Sr.D. Pablo Morillo al mismo. El brigadier D. Miguel de la Torre, comandante general de la primera división, con fecha 30 de Marzo desde el campo de Sémen, me dice lo si* guíente: ' ' ■ v „Excmo. Sr.: Estando situado en el pueblo de Ortiz con los batallones de la Union , Castill…</t>
  </si>
  <si>
    <t>…bitantes de esa capital. , ,, Dios guarde d V. muchos años. San Garlos 18 de Abril de 1818. =: R amon González. =. Sr. capitán general de estas provincias.” 4.0 Ofiíio dtl Exento. Sr. D. Pablo Morillo alxapitan general interino de Venezuela. ,, D. Domingo Volcan, de la división del coronel D. Rafael López, aca bale llegar con dos. banderas cogidas á los rebeldes en la brillante acción del Rincón dé fós Toros, donde el traidor Bolívar ha sido completamente…</t>
  </si>
  <si>
    <t>…807. 3000 idein........... En Cádiz. 33°I7. 2oco ídem...... En Madrid. '32769- 1000 idem........... En ídem. 20419. 1000 idem........... En idem* ARTICULO DE- OFICIO'. El teniente general D. Pablo Morillo con fecha de 4 de Abril ultimo re mite al Excmo. Sr. secretario del despacho de la Guerra copia del parte que le dio el coronel D. Rafael López, comandante de la vanguardia de la segun da división, desde el sitio llamado Caiman, en Venezuela, el cual es coi'…</t>
  </si>
  <si>
    <t>…o de S. M. Dios guarde á V. E. muchos años. Paso Real del Caiman á 21 de Marzo de 1818. = Excmo. Sr.=: Rafael López. = jExcmo. Sr. general en gefe. == Es copia.=Morillo.” El mismo general D. Pablo Morillo remite al Excmo. Sr. Secretario del despacho de la Guerra, con fecha de 10 de Abril, copia del parte que le ha dado el capitán D. Bartolomé Martínez, comandante del cantón de Orituco, en Venezuela, el cual es como sigue *. ,,Excmo. Sr.: Hallándose, como tengo…</t>
  </si>
  <si>
    <t>…superior conocimiento en cumpli miento de mi obligación Dios guarde á V- E. muchos años. Orituco Marzo 30 de 1818. = Excmo Sr. =: Bartolomé Martínez. ==Excmo. Sr. general en gefe D. Pablo Morillo. = Es copia. = Morillo.” El Excmo. Sr. capitán general de Valencia y Murcia ha expedido la circular siguiente: Desde que se tuvo idea de haberse dilatado la peste llamada levantina por toda la costa de Africa, contagiando tan funesto mal la vasta extensión de…</t>
  </si>
  <si>
    <t>…ondad característica á cuantos tuvieron la honra de besar su Real mano. La artillería de la plaza hizo los correspondientes saludos de ordenanza. ^ ARTICULO DE OFICIO. El teniente general D. Pablo Morillo, general en gefe del egército expedi cionario de Costa-firme, con fecha de io de Abril último remite al Excmo. Sr. Secretario de Estado y del despacho de la Guerra copia del parte que le ha dado el comandante general de la provincia de Cumaná, que es como sig…</t>
  </si>
  <si>
    <t>…o los lores Clátiwilllám y GÓn^ngliám; como táMbieri los señores Planta y Chad. •' ESPAÑA. ' . 4 ' ■ ' ■ . . . 'í Caracas 30 de Mayo. . . • V r • ■ A - r . ' , Oficios del Exento. Sr. D. Pablo Morillo al Sr. capitán general. ,, -■ i.° ,, Acabo de saber que en la batalla de Gegede del 2 del actual murié-i</t>
  </si>
  <si>
    <t>…ralmente en todas; con lo que se dio fin al acto, retirándose S. E. de la misma manera que habia sido re cibido. ARTICULO DE OFICIO. Circular del Ministerio de Guerra. El teniente general D. Pablo Morillo, general en gefe del egército expedi cionario de Costa-firme, ha dado cuenta al Rey nuestro Señor del siguiente suceso: ,j.El dia 6 de Febrero tíltimo los insurgentes, abandalizados por el traidor Simón Bolívar, y reunidos á la gavilla de facciosos que conduc…</t>
  </si>
  <si>
    <t>MoriUbyya</t>
  </si>
  <si>
    <t>…do Mariñó por ‘Ximenéz, coronel del regimiento de- Clarines, .eL que há muerto» de resultas de una herida én la pierna ; su segundó D. Juán de Armas adolece aun de sus heridas. El general MoriUbyya casi del todo bueno de su herida^ se prepárá pa^*. ra1 continuar -la«campaña*”;¡ '&gt; •* \ v ■ f -•&gt; ¡1 Asimismo-con-referencia á uri p^rte del comandante D. Miguel de la Tor re 'dirigido al Exbmo./Sr. Di Pablo Morillo, se han publicado áqui las noticias&gt;síguie…</t>
  </si>
  <si>
    <t>Mornza, Eugenia de</t>
  </si>
  <si>
    <t>Eugenia de Mornza</t>
  </si>
  <si>
    <t>…licación , virtud y mérito , lás cuales costeo y entre gó á la comisión de escuelas un sugeto amante de lá pública educación, y lás demas costeadas por él ayuntamiento&gt; á saber: á Doña Eugenia de Mornza por costura y buena conducta; á Doña Francisca de Leonar y Doña Juanh Greña por doctrina cristiana ,-leer y escribir ; á Tadea María de Viguri por doctrina; á D. Manuel de Cuesta, que salió en suerte eoñ otros condiscí^</t>
  </si>
  <si>
    <t>Moron</t>
  </si>
  <si>
    <t>…des mandado por el bárbaro Magdaleno, en la isla de Apunta,, próximo á esta plaza, por la bizarra caballería de Guayabal, mandada por el capitán de guia D. Antonio Ramos, y la del capitán Moron de esta plaza , que al efecto hice reunir con aquella. Solo tres rebeldes lograron fugarse á nado, pues ademas de haber muerto en la acción 28 hombres , se han ahogado muchos mas en la preci pitación de su fuga, y 16 prisioneros que me ha remitido; quedando e…</t>
  </si>
  <si>
    <t>Morquecho, Martin de Valdivieso</t>
  </si>
  <si>
    <t>Martin de Valdivieso Morquecho</t>
  </si>
  <si>
    <t>…ander; á Doña Bárbara Abarca, vecina de la misma ciudad, viuda de D. Josef Ignacio de la Puen te Herrera, como madre, tutora y curadora de Doña María Angela de la Puente Abarca, y D. Martin de Valdivieso Morquecho, vecino del lugar de Muriedás, viudo de Doña.Fermina de la Puente Herrera,y legítimo administrador de las per sonas de sus hijos menores D. Pedro Antonio María y Doña Hemeteria Ignacia de Valdivieso y Puente; é igualmente al curador que tuviese D. Francisco X…</t>
  </si>
  <si>
    <t>Mortua, Francisco Echeverría y</t>
  </si>
  <si>
    <t>Francisco Echeverría y Mortua</t>
  </si>
  <si>
    <t>…idencia dfcl Real tribunal del consulado de comercio de Cádiz de 12 del corriente, en autos núm. 49 del año pasado de 1804, que scn de concurso de acreedores á la testamentaría de D. Francisco Echeverría y Mortua, que fue de este comercio , se manda citar y emplazar á cuantos se estimen con derecho á los bienes de.dicha testamentaría y concurso , para que en el preciso término de. 12 meses acu dan i formalizarlo con los documentos que les comprueben; bajo la prevenció…</t>
  </si>
  <si>
    <t>Moscoso, María Vicenta de Osorio y</t>
  </si>
  <si>
    <t>María Vicenta de Osorio y Moscoso</t>
  </si>
  <si>
    <t>…Valladolidi Antonia Carreras, de Valdemoro, y D. Francisco Vigil, del reino de Francia, y sus sucesores, como legatarios de los Éxcmos. Sres. D. Francisco de Pau la y la Cerda, y Doña María Vicenta de Osorio y Moscoso, su muger, condes que fueron de Aguiíar. En su consecuencia se les cita, llama y emplaza á lin de que den tro del indicado término concurran ante dicho señor alcalde, por la escribanía de provincia de D. Juan Antonio Diaz Noriega,.que despacha D. Pedro Josef…</t>
  </si>
  <si>
    <t>Mosquera, Bartolomé</t>
  </si>
  <si>
    <t>Bartolomé Mosquera</t>
  </si>
  <si>
    <t>…nigo de la misma iglesia. Igualmente para uña plaza de oidor de la Real audiencia de Quito, qúe está vacante por promoción de D. Pedro Antonio Cernadas á regente de la de Chile, á D. Bartolomé Mosquera; y para la asesoría y auditoría del gobierno de Cartagena de Indias, que ha resultado vacante por muerte de D. Josef Murive, á D. Josef Joaquín de Agüero. , i / .■ í » , • ' ■ ¡ * ( El regente de la Real audiencia de Sevilla ha dado cuenta por el ministe rio…</t>
  </si>
  <si>
    <t>…e ha quedado vacante en la santa iglesia catedral de Durango- por fa llecimiento de D. Francisco de Paula Balda á D. Pedro Míllan Rodríguez. También se ha dignado S. M. conceder á D. Bartolomé Mosquera la pla za de oidor de la Real audiencia del Cuzco, que se halla vacante por ascenso de D. Pedro Antonio Cernadas á regente de la de Santiago de Chile : á Don Antonio María Izquierdo, fiscal de lo civil de la de Quito, la plaza de oidor de la misma audiencia,…</t>
  </si>
  <si>
    <t>Mossat</t>
  </si>
  <si>
    <t>…uques si guientes: el Dresden, de 74 cañones, que monta el contra-almirante Mo11er, mandado por el capitán Ternepsky; el Norte Adier, de 74, conmódoro Hamilton; el Neptuno, de 74, capitán Mossat; el Tronchsiüastitil, de 74, capitán Torderem ; el Lubeck, de 74, capitán Srepanof; el Mercurio, de 44 , capitán Novilskox; el Patricio, de 44 , capitán Toloubief, y el Astrogele, de 44, capitán Rody. Necesitando algunos de estos buques repa rarse y abastecer…</t>
  </si>
  <si>
    <t>Mosteirin, Francisco</t>
  </si>
  <si>
    <t>Francisco Mosteirin</t>
  </si>
  <si>
    <t>…ar fue pasado por las armas. 1 A R T I C U L O D E O P I CIO. Él Rey nuestro Señor se, ha servido conceder los empleos siguientes: La tenencia de Rey de la plaza, de. Barcelona al brigadier D. Francisco Mosteirin, barón de Biure, capitán de Reales Guardias de infantería Espa ñola: la de la plaza de Rosas al teniente coronel D. Juan Valdés Inclan, que servia igual empleo en la de Seu de Urgel; y la ayudantía del castillo de Monzon á D. Alonso Daza, subteniente del regi…</t>
  </si>
  <si>
    <t>Mostowski</t>
  </si>
  <si>
    <t>…o de apertu ra de la Dieta bijo del solio,fue á sentarse entré lds diputados, ert donde permaneció mientras se leyó la exposición que hizo sobre él estado&lt;del téinSa de Polonia el conde Mostowski, ministro del Interior y de la ^óltcía. &gt; S. M. acaba dé condecorar con la orden del Aguila de Polonia á vafitfe “caballeros rusos, entre ellos al Príncipe Wolkoíiski , y á los Srés. 'Nofrolzü**”kof, Capo de Istriá y otros. FRUSIA. ■ Berlín 16 de Abril. Entre…</t>
  </si>
  <si>
    <t>Motter</t>
  </si>
  <si>
    <t>…an Isidro de Marrón.” Madrid 2? de Febrero.. A R T I C O-'l O D B O F ICIO. Eí 21 del corriente á la una del día fondeó en la bahía de Cádiz una es cuadra rusa al mando del contra-almirante Motter r compuesta de cinco na tíos dejinea d&lt;? J4 y tres fragatas de 44en completa estado de armamento , y pronta para poder emprender largas navegaciones. La llegada de esta escua dra á los puertos de España es un, efecto de los incesantes desvelos del Rey nuestro…</t>
  </si>
  <si>
    <t>Mottet</t>
  </si>
  <si>
    <t>…mprado dichos muebles, juntamen te con los bienes raíces de aquella posesión. Josef Bonaparte se ha opuesto á dicha sentencia, y le defiende el abogado Mr. Tripier El defensor del Señor Mottet es Mr. Boulianger, que habló ayer por primera vez en este curioso pleito. En la Cámara de los Diputados se distribuyó el día 14 del corriente una cuenta general de los ingresos y gastos hechos en los años de r8i6 y 1817 del producto de las contribuciones indi…</t>
  </si>
  <si>
    <t>Mounier</t>
  </si>
  <si>
    <t>…ue de Wellington maniñesta el mayor zelo para conciliar los diversos intereses, y para acelerar la conclusión de un trabajo que debe de consolidar la paz de que goza la Europa. El barón Mounier, presidente de la comisión mixta para la liquidación de créditos extrangeros, y los embajadores de Austria y de Prusia han teni do sucesivamente varias conferencias con lord Wellington. EL Soberano Pontífice mandó hace tiempo á la congregación de Ritos, que s…</t>
  </si>
  <si>
    <t>…Mn Byland, general al servicio de los Países-Bajos; Mr. de Rayneval, consejero de Estado , director de la cancillería del departamento de los Negocios extrangeros de Francia ; el barón Mounier, consejero de Estado ; el. conde Ca*, raman, primer secretario de embajada en Londres; el conde de Nesselrcn de, secretario de Estado de S. M. -Nel Emperador de/Kusia; el conde Capo d’Istria, secretario de Estado del mismo Emperador; el príncipe Menzicotfj Mr…</t>
  </si>
  <si>
    <t>Moya, Cárlos Rodríguez de</t>
  </si>
  <si>
    <t>Cárlos Rodríguez de Moya</t>
  </si>
  <si>
    <t>468 Arbizu, del Consejo de S. M., alcalde en su Real Casa y Corte, y escribanía de pro vincia de D. Cárlos Rodríguez de Moya. Se halla vacante una de las dos plazas de médico titular de la villa de Monovar, en el reino de Valencia,corregimiento de Orihuela, cuya dotación es de 69 rs. vn. ahílales, que se pagan mensualmente ó como acomode, los cuales se satisfacen los 4500 del fondo…</t>
  </si>
  <si>
    <t>Moziño</t>
  </si>
  <si>
    <t>…en la presente estación, dispensa que no haya asambleas ni paradas de dichos cuerpos de milicias en los tres meses .de Julio , Agosto y Setiembre del corriente año. = El ayudante general Moziño.” ESPAÑA. Madrid 6~ de Julio. ARTICULO PE OFICIO. Circulares del Ministerio de Hacienda&lt;de Indias. 1. a Habiéndose notado el craso descuido de algunas aduanas en la forma ción de los registros, hasta encontrarse en uno mismo aumentado el numero de unos efecto…</t>
  </si>
  <si>
    <t>Mr</t>
  </si>
  <si>
    <t>…alvados proyectaron en el verano último tocar á rebato, to mar á Macerata á viva fuerza, y asesinar á los adicros al Gobierno; pero habiéndose descubierto esta horrorosa trama, el gobernador Mr. Nembrini y</t>
  </si>
  <si>
    <t>…o grado las casas, que no hay en el dia-una granjeria tnas lucrativa que la. de arrendarlas. PAISES BAJOS-UNID O S. La Haya i.° de Setiembre. Escriben de Flesinga lo siguiente: El capitán Mr. Bakker, comandante del buque*¿llamado Liéfde*, iba desde Cette á Ambéres, fue atacado la altu-</t>
  </si>
  <si>
    <t>…es. También ha marchado el conde de Nesselrode con su esposa á París, don de se detendrán un mes. El Príncipe de Hardemberg permanecerá aqui hasta el mes de Diciembre, asi como el ministro Mr. Humboldt, y su hermano Alejandro Humboldt. El conde de Woronzoff aguarda á que pase por aqui un cuerpo de egército que tiene á su mando. Ayer transitó por esta ciudad el regimiento de dragones de Twer, y mañana llegará un regimiento de cosacos: el paso de es…</t>
  </si>
  <si>
    <t>…e se conocen dé diéirói grano. ' FRANCIA. "" París 29 de Noviembre. Sahek-Goolam-Maiddun, vekil ó subdelegado de S. A. el Nabod de Dednore, llegó el 6 de este mesa Marsella con su secretario Mr. Meher-Sahec y su médico Mr. Ramsay. Ha venido de la India por el mar Rojo, Suez y</t>
  </si>
  <si>
    <t>Mr, Menzicotfj</t>
  </si>
  <si>
    <t>Menzicotfj Mr</t>
  </si>
  <si>
    <t>…tario de embajada en Londres; el conde de Nesselrcn de, secretario de Estado de S. M. -Nel Emperador de/Kusia; el conde Capo d’Istria, secretario de Estado del mismo Emperador; el príncipe Menzicotfj Mr. de Witzieben, mayor general y ayudante del Rey ae Prusia; el conde de Zichy, embajador de la. corte de Austria en la de. Berlín; el conde de Go-, lowkin, ministro de la corte de Rusia; el caballero de Karcher, encargado de Negocios dé S. Av I. ,y R.el gran d…</t>
  </si>
  <si>
    <t>Mu, Juan Bautista</t>
  </si>
  <si>
    <t>Juan Bautista Mu</t>
  </si>
  <si>
    <t>…ron los ingleses en su famosa acta de nave gación, por D. Martin Fernandez de Navarrete. 4.0 Memoria sobre las apariciones y el culto de nuestra Señora de Guadalupe de México, por D. Juan Bautista Mu ñoz. 5.0 Memoria sobre la moneda arábiga , y en especial la acuñada én España por los Príncipes musulmanes, con cinco láminas que representan varías de estas mone das, por D. Josef Antonio Conde. 6.° Memoria sobre el origen del condado de Rivagorza, y sucesió…</t>
  </si>
  <si>
    <t>Mudge</t>
  </si>
  <si>
    <t>…al y morigerada. Sin embargo, al tiempo de la prueba le hemos visto destituido de uno y otro recurso; ¡ triste desengañe de la flaqueza humana!” Idem 4. Han vuelto de Dunkerque el coronel Mudge y el capitán Colby con los instrumentos de la oficina de artillería que se llevaron para determinar la si tuación de la importante ciudad de Dunkerque , de concierto con los señores Biot y Arago, hábiles astrónomos nombrados al mismo efecto por el Gobier no f…</t>
  </si>
  <si>
    <t>Mugerza, Juan Manuel</t>
  </si>
  <si>
    <t>Juan Manuel Mugerza</t>
  </si>
  <si>
    <t>…uroteel bandido Julián Infan te y otros cabecillas, que con 400 hombres talaban este pais: de 40 á 50 enemigos quedaron muertos en el campo á golpe de sable y lanza,entre ellos su secretario Juan Manuel Mugerza, del pueblo de la Victoria; casi todos los caballos ensillados, lanzas y otras armas; mas de 300 bestias de todas clases, varias cargas de víveres y otras cosas que hablan robado han queda do en nuestro poder, sin que nosotros hayamos sufrido otra pérdida que…</t>
  </si>
  <si>
    <t>Muguerza, Domingo</t>
  </si>
  <si>
    <t>Domingo Muguerza</t>
  </si>
  <si>
    <t>…D. Carlos Zua^ ti, D. Benito Ojer y D. Domingo Ramírez. En la clase superior de latinidad obtuvo el premio primero D. Justo Pe rez; y el segundo D. Fermín Lasa, siendo meritorios D. Domingo Muguerza, D. Josef Id ion da, D. Francisco Goñi, D. Xavier Sanz López y Don Benito Munduate. Ultimamente en la clase de humanidades ó retorica logró el primer pre mio D. Marcos Velaz; y el segundo D. Romualdo Sasa, siendo merirorios D. Fausto Oráyen, D. Antonio Sanz L…</t>
  </si>
  <si>
    <t>Muguerza, Juan Manuel</t>
  </si>
  <si>
    <t>Juan Manuel Muguerza</t>
  </si>
  <si>
    <t>…ocó llamada á la caballería , y se reunió, habiendo seguido á los enemigos dispersos hasta dos leguas. ,,Quedaron en el campo muertos mas de 30 enemigos, entre ellos el ayo* dante D. Juan Manuel Muguerza, de la Victoria, y secretario del bandido coronel Infante: este último se vió tan perseguido que dejó su caballo, y favorecido del monte se escapó con su trabuco en la mano , y poco menos le ha sucediio á Mauricio Ledesma, que era el segundo gefe. Por nuestra…</t>
  </si>
  <si>
    <t>Mulgrave</t>
  </si>
  <si>
    <t>…dades de los habi tantes. Idem 2T. En estos tres últimos dias ha habido tres consejos de gabinete: en el que se tuvo ayer se hallaron presentes todos los ministros, á excepción de lord Mulgrave. Ayer el duque de Welüngton y lord Stewart estuvieron ocupados en la secretaría de Estado y de Negocios extrangeros. A las cinco tuvo el duque una larga conferencia con lord Castlereagh , y comió después en casa de este ministro con varios extrangeros de dist…</t>
  </si>
  <si>
    <t>Mulle</t>
  </si>
  <si>
    <t>…nte de sus averías la escuadra rusa que se ha llaba anclada en este puerto, acaba de hacerse áTa vela en el diá de hoy para los de España con viento favoiable, y á las órdenes del almirante Mulle?. ’ ' . FRANCIA. . : París $ de, Febrero. i.v : • / J... i Con fecha de 22 del pasado escriben de Viena íó. siguiente: La Puerta Otomana ha hecho diversas representaciones al virey da Egipto para -que se abstenga de ciertas disposiciones que pueden mirarse co…</t>
  </si>
  <si>
    <t>Muñana, Juan Ximenez de</t>
  </si>
  <si>
    <t>Juan Ximenez de Muñana</t>
  </si>
  <si>
    <t>…nes deberían darse los premios de seis medallas de piara que estaban preparadas con el siguiente lema: Premio d la juventud aplicada. finalmente sé. distribuyeron á los examinados Don Juan Ximenez de Muñana, D. Rafael de Rovina, D. Francisco Díaz, Don Blas Ballesteros, D. Mariano Jaén y D. Benigno Perez; habiendo sentido mucho la junta no tener arbitrio para recompensar á los demás. Madrid 11 de Setiembre. A R T I C V 1- 0 Ef R Q F T Q I Q. El R^%' nuestro Señor…</t>
  </si>
  <si>
    <t>Munarriz, Josef Luis</t>
  </si>
  <si>
    <t>Josef Luis Munarriz</t>
  </si>
  <si>
    <t>…incia de Bilbao. A la mayor brevedad se dará á luz el Derrotero que acompaña á estas cartas. Lecciones sobre la retórica y las bellas letras de Hugo Blair: las tradujo del in gles D. Josef Luis Munarriz: tercera edición: 4 tomos en 8.° mayor pasta. Se ha llarán en las librerías de Castillo, frente á las gradas de S. Felipe el Real, y de Pé rez, calle de las Carretas, á 70 rs. El distinguido mérito de esta obra se deja cono cer por haberse señalado para su en…</t>
  </si>
  <si>
    <t>…ontiene 71 láminas. Se hallará en el despacho de la imprenta Real á 120 rs. cada egemplar. ^ Lecciones sobre la retórica y las bellas letras de Hugo Blair: las tradujo del in gles D. Josef Luis Munarriz, tercera edición*, cuatro tomos en 8-° mayor pasta. Se hallarán en las librerías de Castillo, frente á las gradas de S. Felipe el Real, y de Perez, calle de las Carretas, á 70 rs. El distinguido mérito de esta obra, en que el traductor se tomó el ímprobo trab…</t>
  </si>
  <si>
    <t>Muñiz</t>
  </si>
  <si>
    <t>…prontitud que de seaba por falta de caballería, he podido saber después de escrito que han' si do cogidos sobre 300 prisioneros, entre ellos el traidor Novoa, el titulado teniente general Muñiz (2), dos hermanos del rebelde Torres, con una her mana del mismo y multitud de mugeres; las barrancas se han inundado de cad ¿veres, siendo uno de ellos el de Cruz Arpoyo, habiendo quedado en nuestro poder toda'la artillería y pertrechos.” Idem 10. El Excmo.…</t>
  </si>
  <si>
    <t>Muñiz, Carlos García</t>
  </si>
  <si>
    <t>Carlos García Muñiz</t>
  </si>
  <si>
    <t>…individuo del cuerpo que dió este premio: 100 rs. á Pedro Mar celino Viejo, que también presentó planas suyas, y acreditó su aplicación y demas circunstancias. gratificaciones. A D. Carlos García Muñiz, alumno de dibujo de la Real academia de S. Fernando de Madrid, á quien la sociedad recomendó, y por cuyo influjo fue admido en ella, en premio de su aplicación, y para estímulo de ella 1500 rs. vil. anuales que disfruta ya desde i.° de Setiembre del año próx…</t>
  </si>
  <si>
    <t>Muñiz, Luis</t>
  </si>
  <si>
    <t>Luis Muñiz</t>
  </si>
  <si>
    <t>…te del primer extracto de la de $ste dia á Josefa Bueno, comprendida en el Dos de Mayo de Madrid. ARTICULO DE OFICIO. El Rey nuestro Señor se ha servido conceder su Real permiso á D. Luis Muñiz, prebendado de la santa iglesia de Murcia, y calificador del Sto. Ofi cio de la Inquisición de dicha ciudad, para poder usar de la condecoración de la ñor de Lis con que le ha agraciado S. M. Cristianísima por su adhesión á la augusta casa de los Borbones. Le…</t>
  </si>
  <si>
    <t>Muñiz, Manuel</t>
  </si>
  <si>
    <t>Manuel Muñiz</t>
  </si>
  <si>
    <t>…det 1 •° y siguiente 2 del corriente cuando trataron de fugarse del cerro de S. Gregorio, nombrado por dichos rebeldes fuerte de los Remedios. Prisioneros: los titulados teniente general Manuel Muñiz, brigadier Josef Antonio Becerra, coronel gefe de estado mayor Diego Novoa, comandante general de provincia presbítero Manuel Ximenez deí Rio, comandantes Flo rencio Dueñas y Juan Nepomuceno Alvarez, capitán de granaderos Jbséf Ma riano Noriega, capitanes Fél…</t>
  </si>
  <si>
    <t>Munon, Pedro López</t>
  </si>
  <si>
    <t>Pedro López Munon</t>
  </si>
  <si>
    <t>…sobre' los, principios de geometría elemental, medÍGion dp $uperficjeysólidos 8zG. f egecutando va* rías operacíonés^éh'k'iáÉtry;:''^ .'...’J ,y Concluido esté \cÓíi^ eftó^iasmp' D. Pedro López Munon otra oda en elogiódei inmortal ÑeH^ton y sps ^mpáñerós^ creadores de las ciencias exactas. ' ' M ;t La prontitud , soltura : y propiedad con que todos los alumnos contesta-» ron á las muchas preguntas que les fueron hechas por D. Francisco de. Paula Maestre,…</t>
  </si>
  <si>
    <t>Muñoz, Bartolomé</t>
  </si>
  <si>
    <t>Bartolomé Muñoz</t>
  </si>
  <si>
    <t>…e la Reai Casa y Corte, chancillerías y audiencias Reales, corregidores , intendentes y justicias del reino para su mas puntual y exacta observancia. Madrid 26 de Enero de i8i8. = D. Bartolomé Muñoz. Por Real resolución de 29 de Enero último, á consulta del Consejo su</t>
  </si>
  <si>
    <t>Muñoz, Estanislao Godino y</t>
  </si>
  <si>
    <t>Estanislao Godino y Muñoz</t>
  </si>
  <si>
    <t>…residencia, se ha mandado se,anuncíe, á fin de que si,alguna persona tu^ viese noticia del insinuado menor, se sirva comunicarla en la referida escribanía o á su curador ad litcm D. Estanislao Godino y Muñoz, procurador de los Reales Consejos. t . . . ...... Se cita a los acreedores en la. testamentaría de Doña María de la Encarnación Ncstares y .Chapínj viuda que fue de.D. Francisco Herrera, para que concurran á la junta que ha .de celebrarse en la posada del Sr…</t>
  </si>
  <si>
    <t>Muñoz, Juan</t>
  </si>
  <si>
    <t>Juan Muñoz</t>
  </si>
  <si>
    <t>…l ¡el;expresado párroco , espiró á ,1a média noche del mismo dia. El venerable clero de la citada parroquia , no contento con lo que habían trabajado el doctor Camino y el diácono D. Juan Muñoz, acordó hacerle un éntierro solemne ,-que se verificó en la tarde del 25 , con asistencia de todo él clero y las personas de la mayor distinción. Luego que el doctor Camino manifestó al presbítero D. Francisco de Paula Manresa, administrador del santo hospita…</t>
  </si>
  <si>
    <t>Muñoz, Manuel</t>
  </si>
  <si>
    <t>Manuel Muñoz</t>
  </si>
  <si>
    <t>…reces D. Melchor Armenteros, D. Apolinario Rodea y D. Miguel Rodrí guez. Dragones de S. Luis: teniente coronel graduado D. Anastasio Bustamante, capitán graduado D. Felipe Mendez, teniente D. Manuel Muñoz, al féreces D. Pedro de Legarreta y D. Feliciano Guerra, y cadete D. Nicolás Gutiérrez. Dragones de Querétaro: alféreces D. Josef Frias, D. Manuel Arre ta y D. Mauro Camocho. Dragones deS. Carlos: capitán D. Domingo ligar te y portas D. Josef Ignacio Ximenez…</t>
  </si>
  <si>
    <t>Muñoz-----Durante, Angel Sanz y</t>
  </si>
  <si>
    <t>Angel Sanz y Muñoz-----Durante</t>
  </si>
  <si>
    <t>…Marmolejo D. Vicente Ortiz Criado en el mismo Mármbléjo , en Alhama el médico director de los de esta ciudad D. Diego Rodenas, y en la villa de Grábalos él médico de los de Fitero D. Angel Sanz y Muñoz-----Durante las expre sadas temporadas de baños los médicos directores residirán en ellos, como el Rey nuestro Señor lo tiene mandado en beneficio del público. En virtud de providencia del Sr. D. Martin de Gaztañaga,. del Consejo de S. M., su alcalde de casa y corte, ref…</t>
  </si>
  <si>
    <t>Munroo</t>
  </si>
  <si>
    <t>…que aunque no son del mayór interes, com pletan sin embargo la relación de los acontecimientos militares que han ocur rido en aquella parte del mundo. Uno de dichos partes es del general Munroo, y otro del general Marshall: el i.° es de 11 de Mayo participando la toma de las obras exteriores de la plaza de Sholapore, corno también la derrota completa y la dispersión del resto de la infantería de Bajee-Row, que as cendía á unos 5© hombres y de 600 á…</t>
  </si>
  <si>
    <t>Munster</t>
  </si>
  <si>
    <t>…os otros dominios, y cuyos réditos se invertirán en aumentar los fondos destinados á la instrucción pública y á objetos de be neficencia. • Se asegura que en breve llegará aquí el conde Munster con el designio, se gún se cree generalmente, de nacer algunas alteraciones en la administración pública, especialmente en la representación nacional, que no se halla como la exigen las' actuales circunstancias. Su mansión aqui será corta, pues debe hallar se…</t>
  </si>
  <si>
    <t>Murías, Jóscf Alvarez de</t>
  </si>
  <si>
    <t>Jóscf Alvarez de Murías</t>
  </si>
  <si>
    <t>…cogido con su lancha, 53 arrobas de sain, que analizado se halló ser de superior calidad al de ballena. Maza y barra de hierro á D. Francisco Amor y Lastra, vecino de Serantes, á D. Jóscf Alvarez de Murías, á,D. Francisco Suarez de Grullos, á Tomas García de Baiña, á Vicente Suarez de Bello, á D. Ignacio García Tuñon de Salas j á D. Juan Cosme Cotariella, cura de Narzaná, y á D; -Francisco Valdés de Entralgo, porque todos acreditaron haber fabricado muchas mas…</t>
  </si>
  <si>
    <t>Muriel, D Lorenzo</t>
  </si>
  <si>
    <t>D Lorenzo Muriel</t>
  </si>
  <si>
    <t>…D. Pascual Salvachuna leyó el extracto de las actas de la sociedad , desde 9 de Diciembre de 1816 hasta 8 de Diciembre de 1817 , por las clases del instituto , escrito por el vice-secretario D Lorenzo Muriel. Concluido lo cual el vice-director y el Excmo. Sr. capitán general alternativamente procedieron á la distribu ción de 89 premios á los niños y niñas de las enseñanzas de esta ciudad y ar rabales, en esta forma: 19 premios de 60 rs. vn., y una medalla de plat…</t>
  </si>
  <si>
    <t>Muriel, Lorenzo</t>
  </si>
  <si>
    <t>Lorenzo Muriel</t>
  </si>
  <si>
    <t>1286 mente por una pensión de i® ducados anuales que la ha concedido S. M. so bre la renta de la Real lotería. Seguidamente el vice-secreta rio D. Lorenzo Muriel leyó la memoria anónima arriba expresada sobre restablecimiento de fábricas de seda; y por último D. Juan Bautista Figols leyó su memoria pre miada de desecación de terreno cercano á Almenara. Reunida la junta en el dia 8 se comenzó por un discurso que dijo e…</t>
  </si>
  <si>
    <t>Murive, Josef</t>
  </si>
  <si>
    <t>Josef Murive</t>
  </si>
  <si>
    <t>…edro Antonio Cernadas á regente de la de Chile, á D. Bartolomé Mosquera; y para la asesoría y auditoría del gobierno de Cartagena de Indias, que ha resultado vacante por muerte de D. Josef Murive, á D. Josef Joaquín de Agüero. , i / .■ í » , • ' ■ ¡ * ( El regente de la Real audiencia de Sevilla ha dado cuenta por el ministe rio de Gracia y Justicia del importante servicio que ha hecho el alcalde de ía villa de Montellano Francisco Ramos y León, el cu…</t>
  </si>
  <si>
    <t>Muró, Victoriano</t>
  </si>
  <si>
    <t>Victoriano Muró</t>
  </si>
  <si>
    <t>…el francés, y se ofrecieron á responderá cuantas preguntas de geografía gustase hacer el auditorio. Si guióse la lectura de las composiciones, en que se señalaron particularmente D. Victoriano Muró y D. Narciso Barrio. Tras de esto explicaron los restan tes mapas de Asia, Africa y América. Ultimamente se dió fin á los egercicios con un combate de geografía histórica, compuesto de un crecido número de preguntas; y verificado esto á satisfacción, resultaron cuatro niños con…</t>
  </si>
  <si>
    <t>Muro, Victoriano</t>
  </si>
  <si>
    <t>Victoriano Muro</t>
  </si>
  <si>
    <t>qofonarse al vencedor, echadas suertes; le tocó al pensionista D. Victoriano Muro, lo que hizo por su mano el mismo presidente. Et dia 20 por la tarde presentó á sus discípulos de la clase de escribir el P. Manuel Faci de S- Valero. La explicación de la doctrina cristiana, como objeto principal de las escuelas Pias, llenó á intermedios una…</t>
  </si>
  <si>
    <t>Murray</t>
  </si>
  <si>
    <t>…e Menziko#* primer edecán del Emperador de Rusia, Jos genera les CaernicheftyRaousky y Tygobarsky, el Excmo. Sr. Pozzo di Borgo* ministro de Rusia cerca de la corte de Francia: el general Murray, al servi cio de Austria, todos procedentes de Aquisgran; el consejero del Emperador de Rusia Villamoff, que viene de París* y el príncipe de Hesse* procedente también de Francia. Hoy á las cuatro de la tarde ha llegado á esta capital el Emperador de Rusia, y…</t>
  </si>
  <si>
    <t>Mutis, Josef Celestino</t>
  </si>
  <si>
    <t>Josef Celestino Mutis</t>
  </si>
  <si>
    <t>…rden y el sosiego en varios puntos de la América , nq es, el-menor haber salvado, los innumerables objetds de Historia natural que forman Ja rica colección del célebre naturalista Don Josef Celestino Mutis y pues á no ser por su diligencia ó hubiera perecido del todo, o hubiera pasado á manos extrañas, que habrían defraudado alGobierno español del fruto de las inmensas sumas que ha invertido en su formación, y á Mutis quizá de la glorja^ debida á sus incansable…</t>
  </si>
  <si>
    <t>N, J. M. G.</t>
  </si>
  <si>
    <t>J. M. G. N</t>
  </si>
  <si>
    <t>…cina, y cirujano de Cámara de S. M. Cató lica &amp;c. &amp;c. : dos tomos en 4;0 Se hallará éh el despacho de la imprenta Real. El experimentado cazador y perfecto/tirador., compuesto por D. J. M. G. N.: método que se debe observar para tirar corriendo y al . vuelo á todo género de caza: conocer en los montes según las estaciones del año dónde están encamados los co nejos , venados y toda res de pelo, modo de tener büenos perros, y saberlos enseñar: alimenta…</t>
  </si>
  <si>
    <t>Nabor, N.</t>
  </si>
  <si>
    <t>N. Nabor</t>
  </si>
  <si>
    <t>…o, y se logró la ventaja de sorprender uno de los cabecilla? de muchísimo nombre , titulado brigadier Magdaleno Me dina, alias el ¡Cojo, que se cogió vivo, habiendo sido muerto su teniente N. Nabor y el asistente ae este. En diferente punto se sorprendió al capitán Juan Hinojpsa y su abstente, de la gavilla de Pió González , y en otro se hicieron 3 prisioneros de la de Éstéban Borja. ,,En jtoda la correría se tomaron 1 fusil, 3 lanzas, i espada, 1 montu…</t>
  </si>
  <si>
    <t>Naharro, Vicente</t>
  </si>
  <si>
    <t>Vicente Naharro</t>
  </si>
  <si>
    <t>…ninguna de las otras cuatro. En seguida el señor presidente, á pre sencia de la junta abrió el pliego en cuyo sobre se leía: Simul ut dictum et factum &amp;c., y se halló ser su autor D. Vicente Naharro , maestro Real, jubilado por S. M., de la escuela gratuita del barrio de S. Ildefonso. En iguales términós abrió el señor presidente el segundo; pliego sobre el cual se leía In aspectum, lucemque &amp;c. 9 y se halló ser su autor D. Tomas Ania y Aguado, maestro d…</t>
  </si>
  <si>
    <t>…y medio á seis años, de un talento regularV buena salud, puntual asistencia y mediana aplicación,cuantos meses ó sean años se necesitan.para que salga, ya .edü'¿ cado este niño ? D. Vicente Naharro ¿ maestro Real-nombrado y jubilado, por- S. M., autor de esta memoria, ganó el premio. Por nota separada se da noticia de. un niño pobre que absolutamente nada sabía, y en solos ocho meses útiles de enseñanza ha aprendido á leer con buen sentido en prosa y en…</t>
  </si>
  <si>
    <t>Naranjo, Ildefonso</t>
  </si>
  <si>
    <t>Ildefonso Naranjo</t>
  </si>
  <si>
    <t>…lles para asaltar im provisamente; pero entonces, valiéndome de las precauciones debidas , repar tí mi tropa en las casas, y otros en las bardas con los oficiales D.’Juan Plie go, D. Ildefonso Naranjo y D. Josef Romaneo , quienes lograron desalojar los de los puestos que ocupaban. „Quedaron muertos en las calles un teniente coronel de apellido Már quez y algunos-anglos , y varios de Soto la Marina, dejando 17 fusiles solo por este punto. ,,Por nuestra parte tuvimos la desgra…</t>
  </si>
  <si>
    <t>Narciso'Ramírez</t>
  </si>
  <si>
    <t>…CA^n^nrlAi* o o 1 hitnne. voKalrlac eif’ufobó:rmiúl ^£aÜok/ne ría ar-4lJLt* K ^ alguna ; pero Floresr,ique: cumplió err'üñ7tó’db mis órdenesV^préheridiÓ en W hacienda de'Monjasrai'capitán Narciso'Ramírez coii'dos rfias&gt;;de-su-gávíifá,55£ los cuales he mandado se pongan ert capilla para que sean pasados poir: las armas. „ Los cuatro caballos, tres lanzas y- fres machetes cogidos á los -rebeldes he cedido á la caballería de mi sección j ítbdo 'lo ^üé^pbhgó én-e…</t>
  </si>
  <si>
    <t>Narvaez, Ignacio</t>
  </si>
  <si>
    <t>Ignacio Narvaez</t>
  </si>
  <si>
    <t>…ur con los ofi ciales de los primeros teniente D. Josef María Yañez, y alféreces D. Felipe Flores y D. Ramón de la Cruz; y de los segundos teniente D. Ignacio Prie to, y alféreces D. Ignacio Narvaez y D. Agustín Mora, con cuya fuerza me dirigí por el rumbo de Zimatepec, acampando en las lomas del Capire» El 16 por la mañana emprendí mi marcha, arreglándome á las instrucciones de vmd., y á las tres de la tarde formó mi campo sobre Jas lomas de S. Si món , desde donde obser…</t>
  </si>
  <si>
    <t>Narvaez, Josef</t>
  </si>
  <si>
    <t>Josef Narvaez</t>
  </si>
  <si>
    <t>…a de fusil al dar la carga á la infantería. También fue herido al mismo tiempo el coronel D Pedro González Villa; el ayudante del segundo batallón de Navarra, graduado de capitán, D. Josef Narvaez ; el te niente D. Luis La Madrid; lo$ subtenientes D. Sancho Pardo y D. Domingo Agustín; y del de Castilla contusos el capitán de granaderos D. Juan de Lo bo, el teniente D. Ventura Salgado, y los subtenientes D. Pedro Fernandez . y D. Angel Loño; del.de húsa…</t>
  </si>
  <si>
    <t>Naselli</t>
  </si>
  <si>
    <t>…se le ha permitido establecer en* Sicilia los juegos de suerte, de los cuales es empresario en Ñapóles. El ministerio del Interior se ha reunido al de Marina, que está á cargo del caballero Naselli. El alevoso Ciappa, autor del asesinato del marques Capece-Latro, ha sido condenado á muerte por el'tribunal criminal ordinario sin consideración á su carácter sacerdotal. Se espera la confirmación de la sentencia del tribunal</t>
  </si>
  <si>
    <t>Nava, Cristóbal</t>
  </si>
  <si>
    <t>Cristóbal Nava</t>
  </si>
  <si>
    <t>…, zelo y esfuerzo, y al segundo por haber sido el que sorprendió el cantón de los conocidos por los Monigotes, haciendo 16 pri sioneros, dando muerte á uno, é hiriendo al nombrado comandante Cristóbal Nava , que se salvó dejándose ir por un precipicio. Los reos se empezarán á fusilar desde mañana. ■ ,,Dios guarde á V. E. muchos años. Lagos Enero 25 de i8i8.rrExcmo. Sr. = Hermenegildo Revuelta. = Exemo. Sr. mariscal de campo D. Josef de la Cruz.” Contestación de…</t>
  </si>
  <si>
    <t>Navacerrada, Manuel de</t>
  </si>
  <si>
    <t>Manuel de Navacerrada</t>
  </si>
  <si>
    <t>…na Jo sefa María Rogibal, D. Francisco de Ayerbe, D. Domingo González Valdosera, ' Doña Manuela Martín Alonso, D. Manuel Rodríguez, D. Juan de las Fuentes, D. Julián de Arozarena, D. Manuel de Navacerrada, D. Lorenzo Tarsis y herma nos, D. Manuel de Iruegas, D. Josef Ignacio Gutiérrez, la casa de Iruegas y Gil, y D. Antonio Penaso, sus hijos, herederos ó sucesores, para que en el término de 30 dias, contados desde el 4 de Agosto del corriente año, se presenten…</t>
  </si>
  <si>
    <t>Navarra, Josef González Toeres de</t>
  </si>
  <si>
    <t>Josef González Toeres de Navarra</t>
  </si>
  <si>
    <t>…numero de D. Jacinto Gaona y Xoeches. , ’ ^ Ensayo práctico de simplificar el estudio de las lenguas escritas , verificado sobre la inglesa para egemplo de tpdas las demás, por el coronel D. Josef González Toeres de Navarra: tercera edición- hecha en 1799. Véndese á 12 rs. en el despacho de la imprenta Real. . x Prefacio general sobre los?libros del antiguo Testamentó, ó introducción para la inteligencia de estos divinos libros, traducido del francés por el Lie D. Angel Cele don…</t>
  </si>
  <si>
    <t>Navarrete</t>
  </si>
  <si>
    <t>…de las Carretas, y en el despacho de libros de la Real academia Española, calle de Valverde, donde se hallarán también de venta por separado la disertación sobre las cruzadas del Sr. Navarrete, á 15 rea les, y la memoria sobre las diversiones públicas del Sr. Jovellanos, á ó rs.; y ade mas los 4 tomos anteriores de Jas memorias; las partidas del Rey D. Alfonso el Sa bio en 3 tomos en 4.0 marquida; demostración de las monedas del reinado de Henrique…</t>
  </si>
  <si>
    <t>Navarreté, Antonio</t>
  </si>
  <si>
    <t>Antonio Navarreté</t>
  </si>
  <si>
    <t>…ío Guzman y D. Basilio Mateo sobre los autores del arte de escribir, ¿cuál es el que por su sencillez y exac titud es el mas á propósito para la enseñanza ? El dia 21 de Diciembre D. Antonio Navarreté y D. Tomas del Campó sobre si convendrá enseñar á los niños la aritméticá en abstracto ó en concretó* y hasta qué grado, para no dilatar su instrucción según la clase de alumnos. El dia 23 de Enero de 1819 D. Antonio Roldan y D. Manuel Esforcia sobre si siendo preciso enseñar á l…</t>
  </si>
  <si>
    <t>Navarrete, Martin Fernandez de</t>
  </si>
  <si>
    <t>Martin Fernandez de Navarrete</t>
  </si>
  <si>
    <t>…eyes de Aragón y Castilla para la prosperidad de la marina y comercio por los mismos medios que algunos siglos después adoptaron los ingleses en su famosa acta de nave gación, por D. Martin Fernandez de Navarrete. 4.0 Memoria sobre las apariciones y el culto de nuestra Señora de Guadalupe de México, por D. Juan Bautista Mu ñoz. 5.0 Memoria sobre la moneda arábiga , y en especial la acuñada én España por los Príncipes musulmanes, con cinco láminas que representan varía…</t>
  </si>
  <si>
    <t>Navarro</t>
  </si>
  <si>
    <t>…én murió Silvestre Palacios, español americano recien venido dé la península, edecán y compañero de Bolívar; el capellán de este Fr. Francisco Prado, del orden de S. Francisco; el comandante Navarro ¿y* otros; quemo se ha podido averiguar, siendo dudoso si pereció el mismo Bolívar, por ser la luz muy escasa cuando/ se dio el combate: lo cierto'es? que désder;aquella.fecha;no:se ha sabido de él.' Se tomaron 25 cargas de municiones, 400 caballos y dos band…</t>
  </si>
  <si>
    <t>Navarro, Eusebio</t>
  </si>
  <si>
    <t>Eusebio Navarro</t>
  </si>
  <si>
    <t>…eros socios, perso nas condecoradas y de toda distinción y demas concurrentes, disertaron los alumnos sobre la parre que les habí# cabido en suerte por el orden siguiente: Dia i.° D. Eusebio Navarro de la historia de la geometría y propiedades de la extensión; D. Anacleto Toron sobre la excelencia y utilidades del ál gebra. Dia 2.0 D. Pedro Navarro acerca de las leyes del equilibrio de los flui dos y sus consecuencias; D. Mariano Pinos del movimiento de…</t>
  </si>
  <si>
    <t>…ragonesa al mérito de T&gt;. N. de JV. Todos recibieron los expresados premios de mano del señor presidente por el mismo orden que se han designado; y colocados otra vez en su sitio, D. Eusebio Navarro contestó á la Sociedad en un atento y respe tuoso discurso, dándole las mas expresivas gracias por el beneficio que les dispensaba con la enseñanza gratuita que les habia proporcionado, y por la recompensa tan honorífica con que se les distinguia. 1Madrid 26…</t>
  </si>
  <si>
    <t>Navarro, Francisco</t>
  </si>
  <si>
    <t>Francisco Navarro</t>
  </si>
  <si>
    <t>…de arrojo á los enemigos, causándoles bastante pérdida, á pesar de que tuvo que combatir con mas dé 400 de ellos. . ^ „ La que sufrió este batallón consistió en la del subteniente D. Francisco Navarro y 4 soldados muertos, y 6 mas heridos; y el adjunto estado ente rará á V. E. del número de unos y otros que han tenido todos los cuerpos. „Son dignas del mayor elogio las valientes tropas de este egército, y sus dignos gefes y oficiales se han rivalizado en v…</t>
  </si>
  <si>
    <t>Navarro, Hemetérip Ibar</t>
  </si>
  <si>
    <t>Hemetérip Ibar Navarro</t>
  </si>
  <si>
    <t>…a sala consistorial el dia 25 de M$rgoc.á la. hora de las siete de.su tarde, presidido por los se ñores alcalde mayor D. Domingo S. Martin y alcalde ordinario por el esta do noble D. Hemetérip Ibar Navarro, y con asistencia del cabildo eclesiás tico, mariscal d^tíantpp^ljSr... Dk,Joaquín de Mdntemayor , y Sres. co ronel y oficiales del regimiento de infantería de Vitoria. Colocados todos |&gt;or su .orden se dfó principébal acto con todo aparato ydignidad á pirese…</t>
  </si>
  <si>
    <t>Navarro, Josef Ayuso y</t>
  </si>
  <si>
    <t>Josef Ayuso y Navarro</t>
  </si>
  <si>
    <t>…e han sido de la misma au*diencia de Valencia; y para la plaza de fiscal de lo criminal, vacante en el propio tribunal , también por jubilación de D. Antonio Saenz de Viz manos* á D. Josef Ayuso y Navarro, catedrático de prima de leyes jubilado de la ■universidad de Salamanca ; y para el corregimiento de letras de la ciudad de Xijona á D. Josef de Acha. Por Real resolución, á cdnsultá de la Cámara, se ba servido S. M. con ceder la merced de título de Castilla…</t>
  </si>
  <si>
    <t>Navarro, Josef María</t>
  </si>
  <si>
    <t>Josef María Navarro</t>
  </si>
  <si>
    <t>873</t>
  </si>
  <si>
    <t>…o nocimientos , fueron saliendo de Ja rueca les que erraban o no hallaban que preguntar 5 habiendo quedado vencedor en esta lid literaria el último que no erró, y á todo respondió D. Josef María Navarro, seminarista y natural del lucar de Víanos, partido de Alcaraz, en el arzobispado oe Toledo, a quien w triunfo le fue adjudicado el premio de la medalla ce plata orleada y ador nada que el mismo prelado le puso al pecho pendiente del cuello, hacién dole un di…</t>
  </si>
  <si>
    <t>Navarro, Pedro</t>
  </si>
  <si>
    <t>Pedro Navarro</t>
  </si>
  <si>
    <t>…orden siguiente: Dia i.° D. Eusebio Navarro de la historia de la geometría y propiedades de la extensión; D. Anacleto Toron sobre la excelencia y utilidades del ál gebra. Dia 2.0 D. Pedro Navarro acerca de las leyes del equilibrio de los flui dos y sus consecuencias; D. Mariano Pinos del movimiento de los fluidos y distribución de las aguas. Día 3.0 D. Nicasio López sobre la resolución de los triángulos rectilíneos y su utilidad; D. Miguel Garcés de l…</t>
  </si>
  <si>
    <t>Navas, Josef</t>
  </si>
  <si>
    <t>Josef Navas</t>
  </si>
  <si>
    <t>…añías en la última columna de ataque que se apoderó del fuerte, y todos ellos sobresalieron en arrojo y atrevimiento , dan do egempto á sus soldados. ,, El comandante de escuadrón D. Josef Navas y el capiran D. Joaquín Sonicza, tan acreditados y temidos por los rebeldes en la anterior guerra de esta isla, se llenaron de gloria en la atrevida carga que con solo 30 drago nes dieron ¿150 caballos y un destacamento de infantería , en que acuchi llaron ma…</t>
  </si>
  <si>
    <t>…anquear por la se gunda compañía del batallón de Búrgos, fueron cargados los rebeldes por un destacamento de dragones de la Union, mandados por el bizarro comandan te de escuadrón D. Josef Navas, quien á pesar de no llevar consigo mas de 30 dragones, y que los enemigos tenían cuatriplicado número de caballos, fue ron acuchillados, jumo con algunos de infantería que les acompañaban, de jando en el campo mas de 100 cadáveres. „El brigadier Canterac, qu…</t>
  </si>
  <si>
    <t>…6, Don Pedro Bahamonde 4, D. Siiverio Galarraga 2, D. Fermín Castillo Beitia y hermanos 4 , D. Ignacio Diaz 2, Doña Josefa Solórzano 1, el presbítero Dorr Josef Gregorio Avila 1, D. Josef Navas 2, Sra. marquesa de Casa León iof Total 683 pesos y 4 reales. Pamplona 27 de Agosto. En los dias 19 y 22 de Junio último se celebraron en esta ciudad los exá menes públicos de ios alumnos de las escuelas de primeras letras y estudios de latinidad, habiéndose…</t>
  </si>
  <si>
    <t>Navas, Josef de</t>
  </si>
  <si>
    <t>Josef de Navas</t>
  </si>
  <si>
    <t>…es de Fernando vn son el capitán D. Manuel Santander, el teniente D. Alfonso Huesca y el alférez D. Genaro Pañego. Fue muerto ademas el coronel co mandante de dragones de la Union D. Josef de Navas, que seguía en el cuar tel general. Los prisioneros que resultan lo fueron por haberse quedado atra sados y extraviados en la marcha durante la noche. En atención á los méritos y circunstancias del Excmo. Sr. conde de la Cortina, se ha servido S. M. agraciarl…</t>
  </si>
  <si>
    <t>Navia, Francisco de Copons y</t>
  </si>
  <si>
    <t>Francisco de Copons y Navia</t>
  </si>
  <si>
    <t>…uestro Señor se ha dignado conceder el empleo de gobernador y comandanre general de la plaza de Ceuta al teniente general de los Reales egércitos D. Josef Miranda : al de la misma D. Francisco de Copons y Navia el gobierno militar y político de la de Barcelona: Ja sargentía mayor de lá de v alencia de Alcántara ai teniente coronel de infantería D. Juan de Ariza: la primera ayudantía de Ceuta al capitán D. Miguel Ibañez, segun do ayudante de la misma plaza; y la segu…</t>
  </si>
  <si>
    <t>Negrete</t>
  </si>
  <si>
    <t>…na , que en dirección del fuego habían conseguido ya entonces superar la barranca de Panzacola : este fue el momento en que' los enemigos, que iban logrando es capar del campo del Sr. Negrete, tiraron las armas, fueron víctimas la ma yor parte, y se desbarrancaron los restantes, que cayeron en nuestras manos á la madrugada deb siguiente día 2 ; contribuyendo bastante á que soto esca pasen muy pocos la prontitud con que bajaron á las barrancas 50 h…</t>
  </si>
  <si>
    <t>Negrete, Pedro Celestino</t>
  </si>
  <si>
    <t>Pedro Celestino Negrete</t>
  </si>
  <si>
    <t>…ipe y los rea listas de la misma villa, con pérdida considerable y confusión de los rebel des y bandidos de Mina, que se lisonjearon apoderarse del pueblo durante’ la ausencia del brigadier D. Pedro Celestino Negrete * comandante de iá di visión de Nueva-Galicia, que con la mayor parte so caballería y 2 ca-*</t>
  </si>
  <si>
    <t>…. Cuartel general del plan del frente del fuerte de los Remedios Setiembre 5 de 1817. = Excmo. Sr. = Pascual de ■&gt;Tiñan. = Excmo. Sr. virey D. Juan Ruiz de Apodaca.” 2.0 Parte del brigadier D. Pedro Celestino Negrete. „ Acompaño á V. S. el oficio original del coronel de dragones de NuevaGalicia D. Josef Antonio de Andrade, segundo comandante de la división áp mi cargo, con que me da parte detallado de la gloriosa defensa que hizo en la villa de León, rechazando con grande…</t>
  </si>
  <si>
    <t>…pero vién dose descubiertos, torcieron á la izqüiéfdá ¿y trataron de subir la ladera á fin de pasar por entre la barranca.y .el campo de la sección de Nueva-Galicia del mando del brigadier D. Pedro Celestino Negrete. El viento duro que había reinado desde él-medio dia y la oscuridad de la noche favoreció su marcha por lo profundo de la barranca , hasta que oargados por la tropa del Rey hicie ron consecutivamente y por tres veces , según en medio de la oscuridad nos ha pa…</t>
  </si>
  <si>
    <t>…elión; pero no fueron mejor recibidos al presentarse á tiro de pistola de los puestos avan zados y campamento de la primera división de Nueva-Gaiicia, que tan dig namente manda el brigadier D. Pedro Celestino Negrete, cuyas bizarras tro pas , aunque en corto número por los muchos puestos que cubrian, rompie ron un fuego de fusil y cañon.tan ordenado que parecía estaban en ún.egercicio doctrinal. El enemigo fue batida, y se replegó á la barranca con 'el fin de rehacerse y…</t>
  </si>
  <si>
    <t>Neii</t>
  </si>
  <si>
    <t>…r mañana, y se continuarán sin interrupción. GRAN BRETAÑA. Londres 20 de Setiembre. Las cartas particulares que se han recibido de la isla de Trinidad por la Nereida, ai mando del capitán Neii, traen noticias de Angostura hasta fines de Julio. Según ellas se halla en el estado mas miserable la causa de los insurgen tes , quienes carecen enteramente de dinero, vestuarios y provisiones ; y los oficiales que salieron de aqui con esperanzas de hacer fo…</t>
  </si>
  <si>
    <t>Neira, Josef María de Pardo y</t>
  </si>
  <si>
    <t>Josef María de Pardo y Neira</t>
  </si>
  <si>
    <t>…el corregimiento de letras de la ciudad de Xijona á D. Josef de Acha. Por Real resolución, á cdnsultá de la Cámara, se ba servido S. M. con ceder la merced de título de Castilla á D. Josef María de Pardo y Neira, re gidor perpetuo y alférez mayor de la ciudad de Lugo, para sí, sus hijos y sucesores legítimos, bajo la denominación de marques de S. Martin de Hombreiro.</t>
  </si>
  <si>
    <t>Nenin, Cirilo Perez de</t>
  </si>
  <si>
    <t>Cirilo Perez de Nenin</t>
  </si>
  <si>
    <t>…el primer año de su instalación. La presencia de aquella corporación que tan dignamente componen el Sr. D. Antonio de Apellaniz, corregidor de este muy noble, y muy leal se ñorío, D. Cirilo Perez de Nenin, alcalde y juez ordinario, los señores re gidores , síndico y demás capitulares de esta noble villa, y la asistencia de diferentes oficiales generales, prelados de varias órdenes religiosas, curas pár rocos y otras personas de la mas alta distinción, dieron á…</t>
  </si>
  <si>
    <t>Nesselrodé</t>
  </si>
  <si>
    <t>Num. 7f. [ s cuartos. ] 613 f 5 DEL MARTES 23 DE JUNIO DE 1818. RUSIA. Petersburgo 13 de Mayo. ■ Hoy sale deaqui \ ara los estados que tiene en Saratow el conde Nesselrodé, secretario de Negocios extrangeros , de donde pasados dos meses se trasladará á Aquisgran para ásistir al congreso. • ; También debe salir muy en breve de aquí para Ktorsk el conde de Románzow. En estos dias ha muerto á los 90 años de edad el barón de Koloko…</t>
  </si>
  <si>
    <t>Neva, Sebastian</t>
  </si>
  <si>
    <t>Sebastian Neva</t>
  </si>
  <si>
    <t>…ílfó&gt;déFCon^ejó de Sf. Hf. en el súpremó de'Castilla /jüezqué ea virtud, de Real. 6rden COnócé'cíefos autos é incjdéíicífáf del Concurso fdnhádó‘á;lósjbí^ités' :de í^. Francisco y D. Sebastian Neva res de Santoy ó, sé ha man dado cífar,' ll ama r y émpía/ar, como po r el ’ ptésén te se ‘les'cita , llama y emplaza á todos los vinteresados que áre coffceptéeti con ^derecho á •mas citarConcurso y 'sus t&gt;íét-!éVtiívfesert áÍ v*encimtertt6 dé otros cuatro me…</t>
  </si>
  <si>
    <t>Ni</t>
  </si>
  <si>
    <t>…Juan Lesaca y D. Feliciano Guerra. De S. Carlos: ca pitán D. Domingo Ugarte; alféreces D. Cesáreo Medellin y D. Mariano Mondragon. Fieles de S. Luis: capitán graduado de teniente coronel D. Ni colás Zarzosa; teniente graduado D. Patricio Gutiérrez. Nueva-^Galicia : ca-, piran graduado D. Mariano González Laris; alférez D. Mariano Becerra. Realistas de Apan: capitanes D. Joaquín Espinosa y D. Josef Ortiz; tenien tes D. Isidro Espinosa y D. Josef Cas…</t>
  </si>
  <si>
    <t>Nico</t>
  </si>
  <si>
    <t>…a orden del Aguila Negra, llevando a sú derecha á S. M. el Rey de Prusia , que iba con el uniforme de su regimiento, y la insignia del orden de S. Andrés, y á su izquierda el gran duque Nico lás y el Príncipe de Hesse-Homburgo. En seguida venian en coche SS. MM. la Emperatriz y 1¿ gran duquesa Alejandra, después de las cuales cerraban U marcha los. principales empleados de palacio. ' . SS. MM. se apearon primeramente en la catedral de Casan, y. d…</t>
  </si>
  <si>
    <t>Nicola, Luis Gonzaga</t>
  </si>
  <si>
    <t>Luis Gonzaga Nicola</t>
  </si>
  <si>
    <t>…que no comparezca, pasado que sea el citado término, se sustanciarán los autos en rebeldía en los estrados de mi audiencia , y les parará el perjuicio que haya lugar. t El.médico D. Luis Gonzaga Nicola salió dé la ciudad de Cádiz para Valencia Á últimos de Octubre ó principios de Noviembre del año pasado;se sabe que se de tuvo algunos dias en Córdoba, y desde entonces se ignora donde para; é interesan do el saberlo, se suplica á la persona que tenga noticia…</t>
  </si>
  <si>
    <t>Nicolai</t>
  </si>
  <si>
    <t>…con pistola el dia 11 del corriente. El príncipe quedó ligeramente herido, y ha merecido de S. M. el Emperador que le haya hecho una visita. DINAMARCA. Copenhague 2$ de Marzo. El barón Nicolai., ministro plenipotenciario de Rusia cerca de nuestra •corte , se ausenta por algún tiempo, con objeto de acompañar en Inglaterra al gran duque Miguel ¿ quien se dirigirá primeramente á Viena y Munich, y •desde allí pasará á Holanda para ir en seguida á Londr…</t>
  </si>
  <si>
    <t>Nicolaos</t>
  </si>
  <si>
    <t>…reno y\alféreces' D. Justo Escudero y D. Lazaré Ariñendariz. Dragones de Sieffagorda: teniente coronel graduado D. Cristó bal Viilaseñbrcapitanea graduados D. josef García Mirin y D. Nicolaos</t>
  </si>
  <si>
    <t>Nicolás</t>
  </si>
  <si>
    <t>…cristiana, y recibió el bautismo en esta capital el 1 ó del corriente. , , j El Príncipe Guillermo de'Prusia, que había acompañado á Rusia á su augusta hermana, casada con el gran duque Nicolás, volvió á Berlín el 15 de este mes, después de haber estado siete meses en la corte imperial. S. A. R. ha hecho el viage de Moscpw á Varsovia en trineos, con un frió de 20 grados bajo de cero. ESPAÑA. Mérida de Yucatán € de Agosto. El nuevo capitán general de…</t>
  </si>
  <si>
    <t>…ais ar mas y de .Ja fatigada .tropa, co^tietiend0 la maldad de arcabuQear al coman dante D. Juan.Qqajardo ,&lt;?a pitan. del batallón ligero de Querétaro » al tenien te del de México D. Nicolás. Lazcano, up oficial del regimiento de Fernan do vn , que estaba allí de tránsito, y. su asistente,y a'l subdelegado del partir do D. Tomas d© los, Ríos, en venganza de haber perdido mas de 200, hom bres y 5. de ios desembarcados era el ataque de aquel pueblo…</t>
  </si>
  <si>
    <t>…ales de su imperio á Moscow, adonde llegará hácia fines de Junio. Por este mismo tiempo el Rey de Prusia irá á visitar al Emperador de Rusia y á su augusta hija la esposa del gran duque Nicolás: finalmente en el mes de Setiembre los tres Monarcas se reunirán en una ciudad cerca del Rhin, qüe con anticipación se designará.</t>
  </si>
  <si>
    <t>…de Abril. Se espera de día en día que llegue á la Haya el barón Nlcolai, ministr® de la corte de Rusia en la de Copenhague, el cual debe acompañar en sa viage á Inglaterra al gran duque Nicolás. ' ■ . En estos dias han sido puestos en libertad Mrs. Deprés y Fabre, oficia les franceses del Gobierno anterior, que se hallaban presos hacia ya tiempo. '• Ayer se dio orden á Mr. Seh^ifer, quien desde que Salió de Francia se hallaba domiciliado aquí, para…</t>
  </si>
  <si>
    <t>662</t>
  </si>
  <si>
    <t>…autismo, que administrará el confesor de S. M. Los padrinos y madrinas serán SS. MM. la Emperatriz María, el Rey de Prusia y el Emperador. 8.° Durante el bautismo S. A. I. el gran duque Nicolás saldrá de la iglesia, y estará fuera de ella hasta el fin de la ceremonia. 9.0 Acabado el bautismo se cantará el Te Deurn; entre tanto se hará una salva de 201 cañonazos, y habrá repique general de campanas. 10. Después del Te Deum felicitará á SS. MM. II. el…</t>
  </si>
  <si>
    <t>…cámara, los camarlengos y los caballeros de la corte de S. A. I. Los principales empleados de la corte.. SS. MM. las Emperatrices, precedidas del gran camarlengo. S. A. I. eí gran duque Nicolás. El Príncipe reciennacido, á quien llevará en sus brazos la condesa de Lleven, dama de honor, teniendo á su lado al general de caballería conde Tormasoff, y al consejero privado actual príncipe Yussopoff , que llevarán el al mohadón y el velo. El; duque de: W…</t>
  </si>
  <si>
    <t>Nicolas</t>
  </si>
  <si>
    <t>…del comercio de Sevilla, se suplica al sugeto en cuyo poder 'párage' .se _sirfa,e?tr~g~r1o ~ M"llddd,tlps ~res. Pi~illos y.Perez; en Sevilla á D. Antonio Xilnd~ ,no t y en Cádiz á D. Nicolas de la Herran; p~eviniéndose, 'para eyitar su circu1acio~ ,9,ue será detenido en cualqtliera~e l~s co;m.isi~n~s de~ rein~ do,?de se p:esent~, ,,' i Se hall .. :vacante para p~o~ec,rse por OpOSlCl0n el magisterio de prll:neras letra~ de Ja villa de'Cas~ru~ios d…</t>
  </si>
  <si>
    <t>…se embarcaron en falúas ricamente adornadas y dieron un paseo por el mar* Ayer se reunió la corte en PetershofF para celebrar el aniversario del casa- . miento de S. A. I. el gran duque Nicolás, y el del nacimiento dé su augusta, esposa. Con este motivo hubo, según costumbre, gran convite y bailes de más cara, y en los jardines iluminación. V v.’’.'.. Mr. de Brandel, encargado de Negocios de Suecia, tuvo el día 5 una au diencia particular de S. M. e…</t>
  </si>
  <si>
    <t>…la corte se dirigieron desde' PetershofF á Oranienbaum, en donde hubo unos magníficos fuegos artificiales, á que asistieron tan augustos personages. Aunque la enfermedad del gran duque Nicolás, que al fin se ha declarado ser sarampión, no ha presentado síntoma alguno de peligro, sin embargo este incidente causó el mayor sentimiento á sus augustas madre y esposa, quienes no se apartaron un momento de.su lado en los primeros dias del mal, y por esta…</t>
  </si>
  <si>
    <t>Nicollet</t>
  </si>
  <si>
    <t>…24**, y su declinación en el mismo intervalo de tiempo dis minuye de 33 á 35'. Las observaciones del Sr. Blanpain no comprenden hasta ahora mas que un pequeño arco. Sin embargo el Sr. Nicollet ha dedu cido una órbita parabólica aproximada, y aunque imperfecta, servirá paral hallar la posición del cometa durante algún tiempo con algunos minutos de aproximación. Resulta de estos cálculos que pasará por el punto mas cerca no del sol el dia 3 de Marzo…</t>
  </si>
  <si>
    <t>Nieto, Ignacio</t>
  </si>
  <si>
    <t>Ignacio Nieto</t>
  </si>
  <si>
    <t>…s D. Anselmo González y del capitán graduado D. Rai mundo del Olmo, y por la izquierda al capitán D. Domingo Ugarte con 40 caballos , encargándole el mando de un cañón al tehiente D. Ignacio Nieto, .y el'Otro al subteniente D. Josef Manuel Montano; y marchando en buen ór*den hacia el enemigo, me reservé 40 granaderos para proteger y ayudar las guerrillas que necesitasen ser auxiliadas; peró el fuego activo de estas, la bue na dirección de la artillería…</t>
  </si>
  <si>
    <t>Nieves, Julián</t>
  </si>
  <si>
    <t>Julián Nieves</t>
  </si>
  <si>
    <t>…oro,: y. ascendió al grado de te-* h i ente coronel. D. Juan Josef Cruces* natural del Pao, se le concedió la no bleza personal, la medalla de oro, y el grado de teniente coronel. D. Julián Nieves , natural de S. Francisco deíisnados, fue confirmado en su empleo de capitán, obtuvo la nobleza personal, y ascendió ai grado de teniente coronel de caballería. D. Calixto Ramírez.,, natural de Maracaibo, fue confirmado en su empleo de capitán , se le dio la…</t>
  </si>
  <si>
    <t>Nightingall</t>
  </si>
  <si>
    <t>…mbre. Por suplemento á la gaceta del martes, de esta corte, se han publicado unos partes del gobernador de Bombay, con fechas de 30 de Mayo y 3 y 8 de Junio, incluyendo cartas del general Nightingall y otros oficiales, que anun cian la rendición del castillo de Anjenwell y otras fortalezas, y la toma por asalto de la ciudad fortificada de Chanda, con poca pérdida de las tropas británicas. Idem 14. Los fondos públicos han vuelto á su estado antiguo, y el i…</t>
  </si>
  <si>
    <t>Nlcolai</t>
  </si>
  <si>
    <t>…Augsburgo el príncipe de Hohenlohe, obispo de Tempe , también in partibus mjideíium. PAISES-B A *ÍOS-UNIDOS. Brusélas go de Abril. Se espera de día en día que llegue á la Haya el barón Nlcolai, ministr® de la corte de Rusia en la de Copenhague, el cual debe acompañar en sa viage á Inglaterra al gran duque Nicolás. ' ■ . En estos dias han sido puestos en libertad Mrs. Deprés y Fabre, oficia les franceses del Gobierno anterior, que se hallaban presos…</t>
  </si>
  <si>
    <t>No-', Josef María</t>
  </si>
  <si>
    <t>Josef María No-'</t>
  </si>
  <si>
    <t>…s el 27 del corriente a la prisión del traidor Xavier Mina en el rancho del Venadito, perte neciente d la hacienda de la Tlachiquera. De Frontera : el capitán graduado de teniente coronel D. Josef María No-' voa; tenientes D. Felipe Guillen y D. Mariano Miqueley; portas D. Benito Fernandez y D. Mariano Teran. De Nueva-Vizcaya: alféreces D. Lázaro Armendariz y D. Justo Escudero. De Sierragorda: capitán graduado de te niente coronel D. Cristóbal Villaseñor; tenient…</t>
  </si>
  <si>
    <t>Noda, Manuel García de</t>
  </si>
  <si>
    <t>Manuel García de Noda</t>
  </si>
  <si>
    <t>…, D. Pe dro Josef Solórzano 16, DvJuan; Jósef Echezuria y Echeverría 6 &gt; D. Pablo Gascue ■*, D. Manuel Manrique y Sierra 6' ,T). Feliciano Palacios 6yD. Juan • Josef Bahamondé 6 , D. Manuel García de Noda 2 , D. Francisco Cartagena 6, jb. Jaime Cedo 4, D. Manuel Franco y, D. Ignacio Sosa 6, D* Bernardo Ferrara 6 , D. Juan Lander 4, Doña María Gerónima Tovar 4, D. Andrés . de Ibarra 1, D. Juan de la^ Madriz: 3 , D.; Josef María Madriz. 1, D. Juan Josef Rivas y…</t>
  </si>
  <si>
    <t>Noguera, Juan Manuel</t>
  </si>
  <si>
    <t>Juan Manuel Noguera</t>
  </si>
  <si>
    <t>La Guía de forasteros 7 el Estado militar de España para este año te hallaría en tafilete, pasta 7 rústica en el despacho.de la imprenta Real. Se desea saber el paradero de D. Juan Manuel Noguera, vecino 7 del comercio «fue fue de esta corte, que vivió hace* años en la calle Mayor de ella, ¡y ¿ falta de este sus hijos ó herederos, para comunicar asuntos de la mayor importancia; darán razón en la calle ancha de S. Bernardo, núm. 5, frente á la de S. Be…</t>
  </si>
  <si>
    <t>Noguera, Vicente Joaquín</t>
  </si>
  <si>
    <t>Vicente Joaquín Noguera</t>
  </si>
  <si>
    <t>…tina no hay la menor novedad» El Rev se ha servido nombrar para la regencia de la Real audiencia de Cataluña, vacante por jubilación de D. Francisco Xavier de Ole* y Carra*, to, á D. Vicente Joaquín Noguera, barón de Anilla, que lo es de la dé Valencia: para esta regencia á D. Juan López de Vinuesa, electo para la dé Galicia :* para esta regeueia á D. Josef Ignacio Lloren*, electo para la de Mallorca; y para esta regencia á EL Miguel Ramón Mpret, oidor de la au…</t>
  </si>
  <si>
    <t>Nogueras, Hilario</t>
  </si>
  <si>
    <t>Hilario Nogueras</t>
  </si>
  <si>
    <t>…co ronel en el batallón de Barinas dónde sirve. i •Milicias de pardos de Valencia. Capitanes: D. Ramón Hidalgo, D. Ca simiro Colon , D. Fermín Pedraza y D. Pedro María. Tenientes: D. Hilario Nogueras , D. Antonio Rodríguez y D. Josef Amador han sido confirmados en sus empleos, y obtenido la nobleza personal. '■ Capitanes de las guerrillas de Barinas. D. Francisco Xavier Palmero fue confirmado en su empleo, con la nobleza personal y medalla de oro. Don' Te…</t>
  </si>
  <si>
    <t>Nonega, Juan Antonio Diaz</t>
  </si>
  <si>
    <t>Juan Antonio Diaz Nonega</t>
  </si>
  <si>
    <t>…Quevedo y Villegas, y D. Juan de Ferreras. (ÍV continuarán.') Por el juzgado de provincia del Sr. D. Andrés Oller,. del Consejo de S. M., al calde de Casa y Corte, y escribanía de D. Juan Antonio Diaz Nonega que regenta el infrascrito escribano D., Pedro Josef de Ibabe, se ha formado expediente a ins tancia de D. Salvador Giól é hijos, del comercio de esta corte, sobre la pertenencia de dos vales Reales de á 600 pesos, creación de i.° de Mayo de 1808, señalados c…</t>
  </si>
  <si>
    <t>Noriega, Juan Antonio Diaz</t>
  </si>
  <si>
    <t>Juan Antonio Diaz Noriega</t>
  </si>
  <si>
    <t>…fueron de Aguiíar. En su consecuencia se les cita, llama y emplaza á lin de que den tro del indicado término concurran ante dicho señor alcalde, por la escribanía de provincia de D. Juan Antonio Diaz Noriega,.que despacha D. Pedro Josef de Ibabe, por sí ó por procurador conocido á legitimar sus personas y acciones para co brar la cuota correspondiente que le está señalado á cada interesado; apercibidos que de no hacerlo les parará el perjuicio que haya lugar. Ele…</t>
  </si>
  <si>
    <t>Notario, Juan Josef Pérez del</t>
  </si>
  <si>
    <t>Juan Josef Pérez del Notario</t>
  </si>
  <si>
    <t>…Indias se cita á los herederos ó repre sentantes de D. Ramón Adurriaga, apoderado que fue del difunto reverendo obis po electo y confirmado de Nicaragua, en el reino de Goatemala, D. Juan Josef Pérez del Notario, para que por sí ó por apoderados recurran dentro del término de 40 .días con los documentos competentes ante dicho supremo tribunal por la secre taría de Nueva-Espana á usar de su derecho sobre el pago del crédito que tenia aquel contra el mencionado reveren…</t>
  </si>
  <si>
    <t>Novales, Juan Joaquín de</t>
  </si>
  <si>
    <t>Juan Joaquín de Novales</t>
  </si>
  <si>
    <t>…s y herederos de U-Josef.Fernan dez, D. Ramón de Sierra, Real monasterio de Sras.-Comendadoras de Santiago,; D. Rafael de Novales¿&lt; regidor que era de esta vHlá^hijq y héredero de D. Juan Joaquín de Novales ,patrono de las memorias que¡&amp;n&lt;ÍÓrJu..3q Jferirero, Antóniq y Lorenzo ^Sastre * I&gt;./Pedro Ilundain , uno ;de ios ^eté^eros/íde-Eb Juan Fa,cundo Domínguez, y D. Alfonso Gómez Zapata, preceptor eje gramática en,esta corte, para que en el término de 30 dias, co…</t>
  </si>
  <si>
    <t>Novales, Rafael de</t>
  </si>
  <si>
    <t>Rafael de Novales</t>
  </si>
  <si>
    <t>…idos en la precitada sentencia de graduación, que son á saber: los hijos y herederos de U-Josef.Fernan dez, D. Ramón de Sierra, Real monasterio de Sras.-Comendadoras de Santiago,; D. Rafael de Novales¿&lt; regidor que era de esta vHlá^hijq y héredero de D. Juan Joaquín de Novales ,patrono de las memorias que¡&amp;n&lt;ÍÓrJu..3q Jferirero, Antóniq y Lorenzo ^Sastre * I&gt;./Pedro Ilundain , uno ;de ios ^eté^eros/íde-Eb Juan Fa,cundo Domínguez, y D. Alfonso Gómez Zapata,…</t>
  </si>
  <si>
    <t>Novilskox</t>
  </si>
  <si>
    <t>…Norte Adier, de 74, conmódoro Hamilton; el Neptuno, de 74, capitán Mossat; el Tronchsiüastitil, de 74, capitán Torderem ; el Lubeck, de 74, capitán Srepanof; el Mercurio, de 44 , capitán Novilskox; el Patricio, de 44 , capitán Toloubief, y el Astrogele, de 44, capitán Rody. Necesitando algunos de estos buques repa rarse y abastecerse de agua y de víveres, se supone que la escuadra no saldrá para Cádiz hasta pasados 12 dias. Han empezado ya á equiparse…</t>
  </si>
  <si>
    <t>Novoa, Josef María</t>
  </si>
  <si>
    <t>Josef María Novoa</t>
  </si>
  <si>
    <t>…nte D. Patri cio Ange y D. Miguel Tejeiro , subtenientes D.'Juan Perez y D. Juan Josef Reviila. De la Corona : teniente D. Ignacio Valiente. De Frontera: teniente coronel graduado D. Josef María Novoa , teniente D. Josef María Gutiérrez, " . Felipe Guillen, y agregado D. Mariano Miqueley, alférez graduado d^ - .rnañ'D. Josef María Peña , poirta graduado dé teniente D. Mariano Teran, porta D, Benito Fernandez y cade:e!D. Josef Zamora. De Nueva-Vizcaya: capi…</t>
  </si>
  <si>
    <t>…es pecto á haber hecho la marcha por veredas poco usadas, por lo que se con siguió que mi descubierta , compuesta de 120 hombres de Frontera al mando del teniente coronel graduado D. Josef María Novoa , no fuese vista hasta que estuvo á menos de un cuarto de legua de distancia de los rebeldes, por cuyo motivo no tuvieron estos lugar de tomar sus caballos ni de ponerse en defensa , y solo trataron de ocultarse en el bosque que tenían inmediato, en el que fu…</t>
  </si>
  <si>
    <t>Nravarrete, Josef</t>
  </si>
  <si>
    <t>Josef Nravarrete</t>
  </si>
  <si>
    <t>…manentesi eñ: Madrid) de la$ demas saciedadeíxiei réinfol, lós.del ayuntamiéntor, y los de Varias Corporaciones civiles y literarias, y otras diferentes personas, abrid el acto el-Sr. D. Josef Nravarrete, capellán de honor de Si M*,&gt;y ¡auditor ded^rRlOta española y caballero pensionado de la Real y distinguida orden española’de íjártós.iiii^ qtJeíCOino subdirector de la 4oCíedad: 3e?presidia^ expejntesdont&amp;riunibrewedHcufso; d mo tivo y: la utilidad; dé !esto…</t>
  </si>
  <si>
    <t>Nuin, Josef</t>
  </si>
  <si>
    <t>Josef Nuin</t>
  </si>
  <si>
    <t>…ría Aldasoro, y el segundo á Josef Martínez. En la clase de rudimentos de latinidad gano el primer premio D. Josef Gorraiz, y el segundo D. Angel Isturiz; habiendo sido meritorios D. Josef Nuin, D. Manuel Arbide, D. Félix Ii*iarte y D. Cesáreo Sanz López. En la clase de sintaxis se adjudico el primer premio á D Eugenio Subi za; y el segundo áD. Antonio Iribertegui, siendo meritorios D. Carlos Zua^ ti, D. Benito Ojer y D. Domingo Ramírez. En la clase…</t>
  </si>
  <si>
    <t>Nuñez, Elias</t>
  </si>
  <si>
    <t>Elias Nuñez</t>
  </si>
  <si>
    <t>…io y Antonio Rojo en gramática, escritura y lectura ; y por su corta edad y aplicación desdé los últimos exámenes á estos en lectura y doctrina IX Manuel Facón , D. Josef Mendez , D. Elias Nuñez, Juan Feijoo, Valentín Herrero, Pedro Rodríguez, Fausto Portpcarrero, Agustín Gómez y Francisco Ruiz, á quienes según su correspondiente méritp premió dicho ilustre ayuntamiento con una medalla de plata, en que está gra tado el busto de S. Juan de Sahagun, pa…</t>
  </si>
  <si>
    <t>Nuñez, Francisco</t>
  </si>
  <si>
    <t>Francisco Nuñez</t>
  </si>
  <si>
    <t>…n de Navarra graduado de teniente coronel D. Salvador de Medina, y el de la Corona D. Francisco González, se distinguieron en sumo grado, como igualmente los de caballería del Rey D. Francisco Nuñez, D. Sebastian Barrondo, D. Josef Antonio Martínez,' D. Félix Solórzano y D. Felipe Ramos, que fueron incansables en matar ene migos , como el teniente D. Benito Franco y el alférez D. Miguel Chaparro, todos los que se han hecho acreedores á que V. E. tenga la…</t>
  </si>
  <si>
    <t>…pensados en diversas épocas por su fidelidad al Rey nuestro Señor y distinguidos méritos en la pa cificación de estas provincias, con las gracias que d continuación se expresan. { D. Francisco Nuñez, natural de Barbacoas, fue confirmado en su empleo de capitán , se le confirió la nobleza personal , y ascendió á comandante de! éscu/.dron del Sombrero y Barbacoas. D. Antonio Ramos , natural del Guaya bal , fue confirmado en su empleo de capitán de caballer…</t>
  </si>
  <si>
    <t>Nuñez, Lorenzo Sánchez</t>
  </si>
  <si>
    <t>Lorenzo Sánchez Nuñez</t>
  </si>
  <si>
    <t>…eerse á los 15 dias contados desde esta publicación. Los suscriptores al manual de medicina práctica, escrito en francés por P. H. Nisten, y traducido al castellano por los Dreis. D. Lorenzo Sánchez Nuñez y D. Jo sef Parsseman, acudirán á recoger dicha obra á la librería de Perez, calle de las Car retas en la misma librería se halla de venta á 30 en rústica , como igualmente en Cá diz en la librería de Órtal y compañía; en Santiago en la de Víla; en Burgos en la de Al…</t>
  </si>
  <si>
    <t>Nyñez, Miguél Gerónimo-Süaréz y</t>
  </si>
  <si>
    <t>Miguél Gerónimo-Süaréz y Nyñez</t>
  </si>
  <si>
    <t>…iento, mudanza de.caja, entierros cartas- de pascuas, énhórabue*nas, pésames, y el formulario dé letras de; cambio¿ récibbs,' protestos y dientas dé 'resaca í sacado de la obra de D. Miguél Gerónimo-Süaréz y Nyñez. Se hallará- en la librería de Sojo, calle de las Carretas, y en otras muchas de la corte. * Elí LA IAÍ^RE&gt;ttA ^ V</t>
  </si>
  <si>
    <t>O, Josef</t>
  </si>
  <si>
    <t>Josef O</t>
  </si>
  <si>
    <t>…le noticiarán todas las ocurrencías , segun y como se practica en cual quier egército. ! ; , Plana mayor de las tropas empleadas en el cordon. General en gefe el mariscal de campo D. Josef O^Lawlor, comandante general de este reino; ayudantes del general .en gefe- el teniente 'I&gt;. Rafael de Céspedes, alférez del regimiento caballería dragones de) Rey, y D. Ramón María Oteiza , subteniente del de infantería inmemorial de] Rey; mayor ge neral el co…</t>
  </si>
  <si>
    <t>O, Nicolás</t>
  </si>
  <si>
    <t>Nicolás O</t>
  </si>
  <si>
    <t>…los tenientes coroneles D. Juan Josef Campillo y D. Josef Alejandro: los capitanes graduados de tenientes coroneles D. Ra món de Amagada y D. Bartolomé Henriquez: los subtenientes D. Nicolás O ^res y Palafox y D. Ramón González: los subtenientes del Real cuerpo de artillería D. Josef Mogro y D. Santos Caravantes : el coronel de milicias Don Francisco González Palma: el capitán del Real cuerpo de ingenieros Don Francisco Alvarez: los capitanes D. Ca…</t>
  </si>
  <si>
    <t>O, P. M. de</t>
  </si>
  <si>
    <t>P. M. de O</t>
  </si>
  <si>
    <t>…ge egecutado en el año de 1806 por J. A. de Chateaubriand de París á Jerusalen, y de Jerusalen á París, yendo por la Grecia y volviendo por el Egipto, la Berbería y la España, por D. P. M. de O.; contenida en la colección periódica de la Miner va. Las 14 ediciones que esta obra ha tenido en poco tiempo en su original prue ban la grande aceptación que ha merecido á la Europa ilustrada, y en efecto forma la mas nueva completa y agradable descripción, n…</t>
  </si>
  <si>
    <t>O-Kelli, Lorenzo</t>
  </si>
  <si>
    <t>Lorenzo O-Kelli</t>
  </si>
  <si>
    <t>…conocidas hasta el siglo xvi, iluminados, cada uno á 2o.-( JV, En virtud de providencia del juzgado de esta capitanía general se cita, llama y emplaza á los herederos del teniente coronel D. Lorenzo O-Kelli, sargento mayor que fue del batallón de voluntarios de Aragón, hermano y heredero de D. Juan OKelli, teniente coronel retirado, y á lós acreedores de ambos hermanos, para que en el término de dias acudan á usar de su derecho en los autos de testamentaría del…</t>
  </si>
  <si>
    <t>O-Lawlor, Josef</t>
  </si>
  <si>
    <t>Josef O-Lawlor</t>
  </si>
  <si>
    <t>…para su reali zación. Expedidas las órdenes*al efecto, y hallándose en Marbella el 18 de Julio próximo pasado el mariscal de Campo, comandante general del reino y costa ae Granada D. Josef O-Lawlor, juez protector de la obra del muelle, y el ingeniero director de ella D. Joaquín Alaría Perí, fueron acompañados desde las casas de su morada por el cabildo eclesiástico, cuerpo de ayunta miento y estado militar al parage donde debía colocarse la primera pie…</t>
  </si>
  <si>
    <t>Obeira, Josef</t>
  </si>
  <si>
    <t>Josef Obeira</t>
  </si>
  <si>
    <t>…o de Asturias; á los te nientes del de Castilla D Antonio Casariego y D. Domingo López, y al subteniente del mismo D. Juan Sánchez; al de igual clase del Real cuerpo de artillería D. Josef Obeira , y al sargento primero de Asturias D. JosefPoo y Lozana, á los cuales, como igualmente á los demas individuos que se halla ron en el sitio , y recomienda el coronel Hevia, les he concedido un escudo de distinción en campo azul con el lema: Por la toma de Pal…</t>
  </si>
  <si>
    <t>Obispos, Josef</t>
  </si>
  <si>
    <t>Josef Obispos</t>
  </si>
  <si>
    <t>…lugar. Se desea saber el paradero de D. Juan Antonio Chacón, maestro armero, natu ral de Zaragoza , que en el año de 1811, cuando la toma de Valencia, se hallaba en la diviaion de D. Josef Obispos al tiempo de su dispersión; el sugetoque supiese de stí paradero se servirá avisarlo en esta corte á D. Josef Alonso en el depósito hidro gráfico de Marina. Se halla vacante el magisterio de primeras letras de la ciudad de Alcaraz, el que ésta dotado con 9 rs…</t>
  </si>
  <si>
    <t>Ocampo, Ignacio de</t>
  </si>
  <si>
    <t>Ignacio de Ocampo</t>
  </si>
  <si>
    <t>…óbal al norte del Mezcala emprendiese su marcha á Tanganguato , frente deL estrecho ; y la otra de igual numero, compuesta de infan tería y caballería, confié al de la misma clase D. Ignacio de Ocampo,¿ á quien previne se dirigiese por la*izquierda, circulando un elevado cerro aJsabrpor retaguardia del estrecho; y yo con 131 hombres de ambas armas me dirigí por el frente , dando lugar á: que las partidas, se aproximasen, para que átacadopor el frente el re…</t>
  </si>
  <si>
    <t>Ocaña, Pedro Alarcon y</t>
  </si>
  <si>
    <t>Pedro Alarcon y Ocaña</t>
  </si>
  <si>
    <t>…atacarme decididamente, y ver si podía lograr el total exterminio de mi tropa. ,,La guerrilla de vanguardia, compuesta de 20 dragones de dicho escua drón, al mando de su; alférez D. Pedro Alarcon y Ocaña, fue el primero que los descubrió, persiguiéndolos con la mayor bizarría, hasta que.cargándole una&gt; fuerte columna enemiga le obligó á, reunirse á la que despaché por la derecha; á las, órdenes del subteniente de cazadores del i.° americano D. Francisco Velás…</t>
  </si>
  <si>
    <t>Ochoa</t>
  </si>
  <si>
    <t>…proclamante de las naciones extrangeras, asesor de la marina de Victoria últimamente; y en todos estos desti nos obtuvo progresivamente honores de coronel á teniente general* „ £1 coronel Ochoa, el de igual clase comandante chino Claudio Berna! de los Ríos, 7 capitanes, 5 tenientes y 10 subtenientes también se me pre sentaron después que se han visto acosados de una incesante persecución y rápidos movimientos por las sierras y barrancas de sus guari…</t>
  </si>
  <si>
    <t>Ochoa, Francisco</t>
  </si>
  <si>
    <t>Francisco Ochoa</t>
  </si>
  <si>
    <t>…Velazquez •; todos estoí obraron y cumplieron con la mayór exactitud. „ Asimismo recomiendo al teniente político de este pueblo D. Vicente Cenon Carrillo, á D. Ramón Solprsano, á. D. Francisco Ochoa, á D. An tonio Ochoa y D. Francisco Manrique, que con retacos propios hacían fue go al igual de la infantería donde se les ordenaba; y asimismo á D. Pablo Luna con sus dos hijos. - - . • ,, Se lo comunico á vmd. para su satisfacción. ,, Dios guarde á Vmd. moc…</t>
  </si>
  <si>
    <t>Ochoa, Josef Antonio</t>
  </si>
  <si>
    <t>Josef Antonio Ochoa</t>
  </si>
  <si>
    <t>…, aprobado de capitán y el Don personal. Escuadran.íde Jisnaaos. D. Josef Benedicto Brache, natural del Pao, aprobado en su empleo de capitán, y obtuvo el Don.personal..Capitanes: Don Josef Antonio Ochoa, D. Manuel Felipe Ochoa y D. Acario Ramos, naturaleí de la villa dei Pao j aprobados en sus empleos de capitanes de milicias, la nobleza personal *.y la medalla de oro á ambos Ochoas. Capitán de milicias de turnan a. D. Josef León Gómez la nobleza "per sonal*…</t>
  </si>
  <si>
    <t>Ochoa, Josef Gaspar de</t>
  </si>
  <si>
    <t>Josef Gaspar de Ochoa</t>
  </si>
  <si>
    <t>…an, y una comisión de zeladores para cada hos pital, compuesta de tres oficiales y dos sargentos. ESPAÑA. México 5 de Mayo. ' Continuación de los partes de Nueva-España. Parte del capitán D. Josef Gaspar de Ochoa al teniente coronel Don Hermenegildo Pe vuelta } comandante militar de Lagos. „Noticioso de que una gavilla de rebeldes perteneciente á la de Encarna ción Ortiz se hallaba situada en el cerro del Pájaro en la parte que mira á S. Felipe, dispuse salir con la s…</t>
  </si>
  <si>
    <t>Ochoa, Manuel Felipe</t>
  </si>
  <si>
    <t>Manuel Felipe Ochoa</t>
  </si>
  <si>
    <t>…l Don personal. Escuadran.íde Jisnaaos. D. Josef Benedicto Brache, natural del Pao, aprobado en su empleo de capitán, y obtuvo el Don.personal..Capitanes: Don Josef Antonio Ochoa, D. Manuel Felipe Ochoa y D. Acario Ramos, naturaleí de la villa dei Pao j aprobados en sus empleos de capitanes de milicias, la nobleza personal *.y la medalla de oro á ambos Ochoas. Capitán de milicias de turnan a. D. Josef León Gómez la nobleza "per sonal* • - Capitán de milicias de artillería de…</t>
  </si>
  <si>
    <t>Ochou, Francisco Xavier de</t>
  </si>
  <si>
    <t>Francisco Xavier de Ochou</t>
  </si>
  <si>
    <t>668 lia señalado el día 31 del corriente, á la una de su mañana, en la c,sa que habita su presidente el Sr. D. Francisco Xavier de Ochou, decano del supre mo Consejo de ias Ordenes, plazuela del Conde de Barajas, para celebrar el segundo y último remate del arrendamiento alzado de los frutos , rentas, diezmos y derechos de la encomienda de Puerto-Marin en Galicia. Los lid iadores que quisiesen…</t>
  </si>
  <si>
    <t>Ochs</t>
  </si>
  <si>
    <t>* Se vuelve i asegurar, y con mas fundamento que antes, que e1 general Ochs irá á Petersburgo en calidad de ministró plenipotenciario de S. A. R. el Elector de Hesse-Cassel. . S. A&gt; R. el gran Duque de Badén há nombrado al mayor general Tettembom teniente general de caballería, y enviado extraordinario y ministro plenipoten ciario ce…</t>
  </si>
  <si>
    <t>Oconnor, Patricio</t>
  </si>
  <si>
    <t>Patricio Oconnor</t>
  </si>
  <si>
    <t>…la im prenta Real. Se suscribe en dicho despacho, y en las provincias en todas las admi nistraciones principales y agregadas de correos. En los autos del concurso de acreedores á D. Patricio Oconnor, que fue del co mercio de Cádiz, se ha dictado providencia con fecha 26 de Marzo próximo, por la que se manda citar y emplazar á cualquiera que se considere con derecho al refe rido concurso, para que ocurra á formalizarlo en el término de 1 2 meses con los d…</t>
  </si>
  <si>
    <t>Oehs</t>
  </si>
  <si>
    <t>…el reino dé Saxonia el mayor de Minkewitz; por el Hannóver el general de Hinuber; por Wurtemberg el barón de Varnbuler; por Badén el coronel de Freidorf; por el Hesse electoral el coronel Oehs; por el gran ducado de Hesse el barón de Weyhers. Va á publicarse en Londres una obra muy interesante en las circunstan cias actuales, cuyo título es Observaciones* sobre lü Groenlandia, y por consecuencia sobre aquellos mares, y sobre el paso N. O. ai Océano…</t>
  </si>
  <si>
    <t>Ogara, Rosa</t>
  </si>
  <si>
    <t>Rosa Ogara</t>
  </si>
  <si>
    <t>…uvo con los fran ceses el dia 19 de Febrero del mismo año en los campos de Sta. Engracia, frente á Badajoz, en cuya jornada se tiene noticias quedó muerto ó mal herido..».Su muger Doña Rosa Ogara suplica á las personas que lo hayan conocido, y sepan la suerte que le cupo en dicha batalla, tengan la bondad de noticiarlo en Madrid á D. Josef Irunciaga, del comercio, calle Mayor, núm. 9, y en Bilbao á D. Juan Bulfi Mar tínez, también del comercio; y si d…</t>
  </si>
  <si>
    <t>Ojeda</t>
  </si>
  <si>
    <t>…de Francisca -Ponce, viuda de Manuel Saavedra, palafrenero que fue de Reales caballerizas, para que dentro del término de 30 dias, contados del de este anuncio, acudan ante dicho Sr. Ojeda, y escribanía de las mismas Reales caballerizas , ai cargo de D. Alfonso del Pozo, por sí ó por medio de procurador con poder bastante, á decir y exponer de su derecho y justicia, la que se les administrará en lo que la tuvieren; prevenidos que trascurrido di…</t>
  </si>
  <si>
    <t>Ojeda, Francisco Xavier de</t>
  </si>
  <si>
    <t>Francisco Xavier de Ojeda</t>
  </si>
  <si>
    <t>…e, núm. 1 , cuarto se gundo; previniéndose se admitirán las que se hicieren arregladas hasta el dia 20 del corriente mes, y pasado se señalará el de su remate. Por providencia del Sr. D. Francisco Xavier de Ojeda, del Consejo de S. M. en el supremo de Hacienda, juez asesor general de la Real casa y patrimonio, se cita, llama y emplaza á todas y cualesquiera personas que puedan tener derecho á los bienesde Josef Turadas, natural que fue del Real sitio de Aranjuez, solt…</t>
  </si>
  <si>
    <t>…principal; en la inteligencia que habiendo pliego arreglado se señalará el día y hora para el publico remate. En virtud de providencia de 5 de Diciembre del año próximo pasado del Señor D. Francisco Xavier de Ojeda, del Consejo de S. M. en el supremo de Hacienda, juez asesor general de la Real Casa y Patrimonio, refrendada de D. Alfonso del Pozo, escribano de S. M., sus Reales caballerizas, ballestería y demas ramos agre ga ios, se anunció al público por medio del diari…</t>
  </si>
  <si>
    <t>…el consejo de Regencia de España: en 1814 caballero gran cruz de la. Real orden de Carlos m; y en 1816 presbítero cardenal de la santa romana Iglesia. En virtud de providencia del Sr. D. Francisco Xavier de Ojeda, del Consejo dé S. M. en el supremo de Hacienda, y juez asesor general de su Real casa y patri monio, se cita y emplaza á todas las personas que se conceptúen con derecho á ló¿ bienes quedados por muerte del Excmo. Sr. D. Gerónimo de Mendinueta y M112?quiz, c…</t>
  </si>
  <si>
    <t>…e verificarse, podrán acudir á la secretaría de la misma jun ta , á cargo de D. Bartolomé Torrado, que vive puerta del Sol, casa de U Inclusa. Por providencia de 15 del pasado del Sr. D. Francisco Xavier de Ojeda, del Consejo de S. M. en el supremo de Hacienda, juez asesor general de la Real casa f patrimonio, se cita , llama y emplaza á todas y cuaiesquier personas que se concep túen con derecho á los bienes quedados con motivo del fallecimiento de Francisca -Ponce,…</t>
  </si>
  <si>
    <t>Ojer, Benito</t>
  </si>
  <si>
    <t>Benito Ojer</t>
  </si>
  <si>
    <t>…iarte y D. Cesáreo Sanz López. En la clase de sintaxis se adjudico el primer premio á D Eugenio Subi za; y el segundo áD. Antonio Iribertegui, siendo meritorios D. Carlos Zua^ ti, D. Benito Ojer y D. Domingo Ramírez. En la clase superior de latinidad obtuvo el premio primero D. Justo Pe rez; y el segundo D. Fermín Lasa, siendo meritorios D. Domingo Muguerza, D. Josef Id ion da, D. Francisco Goñi, D. Xavier Sanz López y Don Benito Munduate. Ultimamente en la clase de huma…</t>
  </si>
  <si>
    <t>OKelli, Juan</t>
  </si>
  <si>
    <t>Juan OKelli</t>
  </si>
  <si>
    <t>…tanía general se cita, llama y emplaza á los herederos del teniente coronel D. Lorenzo O-Kelli, sargento mayor que fue del batallón de voluntarios de Aragón, hermano y heredero de D. Juan OKelli, teniente coronel retirado, y á lós acreedores de ambos hermanos, para que en el término de dias acudan á usar de su derecho en los autos de testamentaría del D. Juan, pendientes en este tribunal militar; prevenidos que de rio verificarlo les parará el perjui…</t>
  </si>
  <si>
    <t>Oken</t>
  </si>
  <si>
    <t>…es va sallos, en su santa y digna, guardia. — Carlos Juan. = Dado en el palacio de: Stockolmo el 5 de Febrero, de. t818 SAXONIA. Wrimar 17- de Febrero.. El consejero de la corte y profesor Oken ha sido conducido por los gen— dar mas á la prisión de Wartbourg para sufrir seis semanas de cárcel 2 que ha. sido condenado por haber infringido las leyes relativas á la libertad de la imprenta. El profesor Luden y. que había vuelto para obtener la plaza de…</t>
  </si>
  <si>
    <t>Olalla, Fernando Santa</t>
  </si>
  <si>
    <t>Fernando Santa Olalla</t>
  </si>
  <si>
    <t>…plaza de Lima á Don Josef Lanao, capitán del regimiento del Infante D. Carlos, que se halla en aquella plaza: la ayudantía del castillo de la Aljafería de Zaragoza al subte niente D. Fernando Santa Olalla, que servia igual empleo en el castillo de S. Felipe de la ría del Ferrol; y la del de Polleriza, en Mallorca, al alférez D. Pedro Alberty, guardia de la Real compañía de Alabarderos. Noticioso el Rey nuestro Señor de que el comisario ordenador graduado de ma…</t>
  </si>
  <si>
    <t>Ole, Francisco Xavier de</t>
  </si>
  <si>
    <t>Francisco Xavier de Ole</t>
  </si>
  <si>
    <t>…gozaen el de completa salud, y que en la Cortina no hay la menor novedad» El Rev se ha servido nombrar para la regencia de la Real audiencia de Cataluña, vacante por jubilación de D. Francisco Xavier de Ole* y Carra*, to, á D. Vicente Joaquín Noguera, barón de Anilla, que lo es de la dé Valencia: para esta regencia á D. Juan López de Vinuesa, electo para la dé Galicia :* para esta regeueia á D. Josef Ignacio Lloren*, electo para la de Mallorca; y para esta regen…</t>
  </si>
  <si>
    <t>Olguin, Juan</t>
  </si>
  <si>
    <t>Juan Olguin</t>
  </si>
  <si>
    <t>…contrar én ellas un solo insurgente ; mas á mi regreso de S. Luis de Ja Paz hice que el comandante de la caballería D. Juan Cenon dispusiese 40 hom bres escogidos, que al mando de D. Juan Olguin cercasen el rancho titulado de la Sábana, y reconociesen si en él se abrigaba algún faccioso, pues tenia de ello algunos indicios. En efecto, no me salió infructuosa esta operación, pues habiendo caído muy de mañana sobre d^cho punto , logró encontrar y rebel…</t>
  </si>
  <si>
    <t>Olier, Juan Villa y</t>
  </si>
  <si>
    <t>Juan Villa y Olier</t>
  </si>
  <si>
    <t>…raseros, acudía ante él Sr. D. Francis co Xavier de Ojeda, del supremo Consejo de Hacienda, jifez asesor générsrt de la Real Casa* y Patrimonio, y por la escribanía de comisión de D. Juan Villa y Olier, con el pliego de proposiciones, bajo de las cuales se obligue á hacer el surtido en los términos acordados por el señor veedor general de la Real Casa, de que se les instruirá por la mencionada escribanía; con preven ción de que los pliegos que presenten han…</t>
  </si>
  <si>
    <t>…cho librado por este al Sr. D. Manuel Josef Ru bio-, del Consejo de S. M., teniente corregidor de esta muy heroica villa, quien lo há cumplimentado por la escribanía del número de D. Juan Villa y Olier, se ha mandado volver á sacar á publica subasta por término de 20 días, contados desde ló dei corriente, una casa sita en esta población, su calle de Toledo num. 6, de ia manz. 146 que tiene de sitio 4998 pies superficiales, correspondiente ai mayorazgo fupda…</t>
  </si>
  <si>
    <t>Olivan, Alejandro</t>
  </si>
  <si>
    <t>Alejandro Olivan</t>
  </si>
  <si>
    <t>…massobre-i salientes* no solo por sus respuestas, sino también por su aplicación y aprove-c chamiento durante todo el curso , han sido el teniente del Real cuerpo de ar-í tiííería D. Alejandro Olivan * el discípulo déhReálí colegio de,Farmacia&gt;D. Aíi~ tónio Moreno, y el álférez ?de fragata de la Real Armada D. Saturninoi Mond tojo; y después de estos Jos-Sres. D. Joaquín Blake y.subteniente áspiránte al ¿Real cuerpo de ingenieros., D* Manuel Pose, alférez…</t>
  </si>
  <si>
    <t>Olivas, Joaquín López de</t>
  </si>
  <si>
    <t>Joaquín López de Olivas</t>
  </si>
  <si>
    <t>…los deseos de su vecindario se ha servido mandar se ponga en la gaceta del Gobierno.; . El Rey nuestro Señor se ha servido conceder á'su ministro en Ja Real aífdienclá de Cataluña D. Joaquín López de Olivas, y al teniente coronel reti rado D. Josef Ignacv) de Mércader, maestrante de Ronda, el correspondiente Real permiso para el uso de la condecoración de lá flor de Lis, que han ob tenido de S., M. Cristianísima en consideración á su constante adhesión y amor á…</t>
  </si>
  <si>
    <t>Olíve, Josef Felipe</t>
  </si>
  <si>
    <t>Josef Felipe Olíve</t>
  </si>
  <si>
    <t>de artes, que porencargo de la sociedad desempeñaba fes * funciOnesde pro** rector de esta enseñanza D. Josef Felipe Olíve leyó un discursoen el cual exponiendo el origen de la taquigrafía tanto antiguajeonw&gt; moderna,, mani festó !a diferencia que habia entre; ellas; iiMtéódéSí venta jas y utilidáde$?;que entrambas habían producido; dio una libera idea de la pasigrafía ó escritur…</t>
  </si>
  <si>
    <t>Oller, Andrés</t>
  </si>
  <si>
    <t>Andrés Oller</t>
  </si>
  <si>
    <t>…oz, Gonzalo Fernandez de Córdoba, el gran duque de Alba, Arias Montano, D. Fran cisco Quevedo y Villegas, y D. Juan de Ferreras. (ÍV continuarán.') Por el juzgado de provincia del Sr. D. Andrés Oller,. del Consejo de S. M., al calde de Casa y Corte, y escribanía de D. Juan Antonio Diaz Nonega que regenta el infrascrito escribano D., Pedro Josef de Ibabe, se ha formado expediente a ins tancia de D. Salvador Giól é hijos, del comercio de esta corte, sobre l…</t>
  </si>
  <si>
    <t>…pez de Mendoza, Juan Ginés de Sepúlveda, Francisco de Salinas, Fr. Benito Gerónimo Feijoo, D. Alonso Perez de Guzman, y Rodrigo Diaz de Vivar. £Se continuara*) Por providencia del Sr. D. Andrés Oller, del Consejo de S. M., alcalde de Ca sa y Corte, de 24 del pasado, se ha mandado que por este periódico sean citados, llamados y emplazados, con término de un mes, contado desde i.° del corriente, D. Josef Joaquín de Valdearenas, D. Josef Valero Espinosa , na…</t>
  </si>
  <si>
    <t>Olmo, Antonio del</t>
  </si>
  <si>
    <t>Antonio del Olmo</t>
  </si>
  <si>
    <t>…do preciso enseñar á los niños, la doctrina, cristiana y explicárse la, ¿ cuál será el método de esta explicación paca no confundir síi tierna ca^ pácidad ? ; El día 24 de Febrero D. Antonio del Olmo y D. Bernardino González sobre ¿cuántas son las palabras de nuestra locución, y cómo se les harán co nocer á los niños con sus accidentes y propiedades? ¡ El día 11 de Marzo D. Aquilino Palomino y O. Matías del Corral sobre ¿cuál es la parte de la gramática que enseña ¿ disponer las…</t>
  </si>
  <si>
    <t>Olmo, Manuel del</t>
  </si>
  <si>
    <t>Manuel del Olmo</t>
  </si>
  <si>
    <t>…bano del número D. Tomas María Manrique» se cita, llama y emplaza á todos los parientes y demas personas que se crean con derecho á los bienes quedados por la muerte in testada de D. Manuel del Olmo, vecino que fue de esta villa , y natural de la de Orche, para que al término de 30 dias» contados desde este aviso» comparezcan per sí ó por medio de procurador y en forma á decir del que les asista; con apercibi miento de que pasado sin haberlo hecho les pa…</t>
  </si>
  <si>
    <t>Olmo, Pablo Moreno del</t>
  </si>
  <si>
    <t>Pablo Moreno del Olmo</t>
  </si>
  <si>
    <t>…rrespondiente emplazamiento, á los hijos y herederos de D. Josef Joaquín de la Puente y Doña Ana María de Herrera, que lo eran Doña Teresa de la Puente Herrera, casada con el Lie. D. Pablo Moreno del Olmo, vecinos de la ciudad de Bíírgos; á Doña María Antonia de la Puente Herrera, casada con Don Bernardo de Lienares, vecinos del lugar de Bezana,obispado de Santander; á Doña Bárbara Abarca, vecina de la misma ciudad, viuda de D. Josef Ignacio de la Puen te Herr…</t>
  </si>
  <si>
    <t>Olmos, Ramón</t>
  </si>
  <si>
    <t>Ramón Olmos</t>
  </si>
  <si>
    <t>…a dormir anoche eñ los ranchos de la cuesta de; Huáraqueo, tres ¿leguas antes de Márávatio , dispuse úna partida al mando del.alférez;de 1 « compañía de realistas de esta hacienda D. Ramón Olmos,compuesta de los 5 soldados.útiles que tengo enceste desta camento, 6 vaqueros y 4rpaisano&gt;s, los que caminaron toda la noche con algu na violencia^ y lograron.llegar a las cuatro y media, de lar mañana de hoy á dich os ranchos, siendo el fruto haber pillado…</t>
  </si>
  <si>
    <t>Oms, Francisco</t>
  </si>
  <si>
    <t>Francisco Oms</t>
  </si>
  <si>
    <t>…itología; hicieron varias traducciones, y compusieron so bre el asunto que se les dio varias oraciones, cartas, fábulas 8tc. Pedida la ve nia para la poesía con una oda lírica por D. Francisco Oms, colegial, pronun ciado un trozo de la Araucana de Ercilla por D. Josef Pujol, y recitada ade mas una égloga de Virgilio, tradujeron algunas fábulas de Fedro, las églogas y parte de la Eneida de Virgilio, algo de Ovidio, y de las odas de Horacio, midiendo sus…</t>
  </si>
  <si>
    <t>Oñate, Juan Diez de</t>
  </si>
  <si>
    <t>Juan Diez de Oñate</t>
  </si>
  <si>
    <t>…acultades que por Reales órdenes me están concedidas, determinarlo siguiente: ' : ;r Distrito de Estepóna. Primer ge fe ei coronel D. Ildefonso Matilde Monesterio; segundo gefe el capitán D. Juan Diez de Oñate. ■Este distrito se subdividirá en dos partidos al cargo de.un capitán, que se situarán en Estepona y Marbella. / ‘ •' i , Distrito de Málaga. . Primer gefe el Excmo. Sr. gobernador D. Rafael Trujilío, mariscal de campo de los Reales egércitos; segundo gefe ei…</t>
  </si>
  <si>
    <t>Ontiveros, Francisco</t>
  </si>
  <si>
    <t>Francisco Ontiveros</t>
  </si>
  <si>
    <t>…o de corregi dor de esta -muy heroica villa, refrendada por su escribano del número D. Jacinto Gaona y Loeches, se ha señalado para una junta general de acreedores á los bienes de D. Francisco Ontiveros el dia 26 del corriente en la posada de S. S., y hora de las ocho de su mañana. Lo que se hace saber á todos los que crean tener derecho á los insinuados bienes, á fin de que concurran por sí ó por medio de apoderado; con’ apercibimiento de que al que no comp…</t>
  </si>
  <si>
    <t>…ona y Loechea, se ha señalado el- domingo 23 del corriente, a las nueve de su mañana en la posada de S. S-, calle del Cármen, para una junta ge neral de acreedores á los bienes de D. Francisco Ontiveros, para que los que se ha llen con derecho á los citados bienes acudan en dicho sitio y hora; en la inteligencia . que al que no compareciese Je parará el perjuicio que haya lugar. Se desea saber el paradero de D. Juan Antonio Chacón, maestro armero, natu ral d…</t>
  </si>
  <si>
    <t>Oowley, Josef</t>
  </si>
  <si>
    <t>Josef Oowley</t>
  </si>
  <si>
    <t>…iquez.” S. E. ha mandado dar las gracias á este comandante en nombre áei Rey nuestro Señor por este servicio , y adamas ha concedido el grado de teniente fcn *só cíase a1! alfétez D. Josef Oowley que viene recomendado." ‘k " -• DERROTA DE LA.GAVILLA DEL APOSTATA CABECILLA Pr TORRES. ^Parte del comandante accidental de Valladolidsargento mayor Z). josef . de Castro. &lt; • ; ] v,;„• Excmo.. Sr.: Tengo la mayor complacencia eti dirigir á das superiores man…</t>
  </si>
  <si>
    <t>Oquena, Jluan Mauricio</t>
  </si>
  <si>
    <t>Jluan Mauricio Oquena</t>
  </si>
  <si>
    <t>…..... ' .......................................................* i no ir; Se cita , llama y 'isiti plaza* por téribÍ6l¿^preciso de 30 dias » contados desde *el ¡5 del corriente, á D. Jluan Mauricio Oquena, sus hijos;'herederos ó sucesores, para que por sí, ó por m^dia ¿e procurador.con 'poder bastante, se muestren parte en el expediente formadoo por D. Francisco Carro, vecino de la villa.de Baena , sobre reintegro de un valellteal de 300 pesos de la creación d…</t>
  </si>
  <si>
    <t>Oquena, Juan Mauricio</t>
  </si>
  <si>
    <t>Juan Mauricio Oquena</t>
  </si>
  <si>
    <t>…provincia y comisiones de la misma.D. Luis López de Castro , se cita, ¡llama y-em plaza por tercer término ' ultimó y perentorio‘de 15'dias, contados desde está piibli-f cacion, 3 D. Juan Mauricio Oquena, sus hijos, herederos ó sucesores, para qué por éí ó por medio de procurador, con'poder bastante, se muestren parte en el expe diente formado,por D. Francisco Carro, vecino de la villa de Baena, sobre reintegro de un vale Real de 300 pesos de la creación de i…</t>
  </si>
  <si>
    <t>Oquend'o, Mariano Lafuente y</t>
  </si>
  <si>
    <t>Mariano Lafuente y Oquend'o</t>
  </si>
  <si>
    <t>38* . . . (al ias Sentimientos), de egercicio torero, está comisionado el Sr. D. Mariano Lafuente y Oquend'o, del Consejo de S. M., alcalde del crimen honorario de la Real audiencia de Sevilla, teniente primero de asistente de la misma, para oir instructi vamente al mismo Nuñez y á sus acreedores , y arreglar los plazos y seguridades pa ra el pago de estos., á cuya…</t>
  </si>
  <si>
    <t>Oramas, Antonio</t>
  </si>
  <si>
    <t>Antonio Oramas</t>
  </si>
  <si>
    <t>…Josef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 Rafael Minteguiaga 15, D. Ramón Go mia 10, D. Josef Ramón Zozalla 2, D-&gt; Jaime Mas 8, D. Martin de Irrgo•yen 8 , D.; Juan:.Gcrd.il.' d, D¿ tMiguel Antonio Oya…</t>
  </si>
  <si>
    <t>Orar, Diego</t>
  </si>
  <si>
    <t>Diego Orar</t>
  </si>
  <si>
    <t>…trodujesen en algunos estados de Alemania nuevas constituciones.” ESPAÑA. México 11 de Marzo. ' ’ ' j Continuación de los partes de Nueva-España. 1 XAI.APA. Oficio del brigadier y comandante D. Diego Orar cía Conde. ,,Excmo. Sr.: Elevo á manos de V. E. el oficio original del coronel Don Cárlos María Llórente, con el que remite el parte de las operaciones egecutadas por el capitán de milicias de Tampico D. Antonio Chirinos contra las gavillas que se hallaban á…</t>
  </si>
  <si>
    <t>Oravárie, Pedro</t>
  </si>
  <si>
    <t>Pedro Oravárie</t>
  </si>
  <si>
    <t>…rcionársele y y efectivamente en el ultimo' puerto,’ car garon el bergantín los Sres. Mauri hermanos con 300 cajas de jabón ; 30 pi pas de aceité y 100 botas de vino por cuenta de D. Pedro Oravárie; y haDiendo salido de Málaga, fondearon en Gibraltar para esperar Viento favo rable, á fin de continuar su navegación. Verificado asi, llegaron después de tres dias de navegación al cabo de S. Vicente, donde avistaron una goleta insurgente, que estaba al cost…</t>
  </si>
  <si>
    <t>Oráyen, Fausto</t>
  </si>
  <si>
    <t>Fausto Oráyen</t>
  </si>
  <si>
    <t>…avier Sanz López y Don Benito Munduate. Ultimamente en la clase de humanidades ó retorica logró el primer pre mio D. Marcos Velaz; y el segundo D. Romualdo Sasa, siendo merirorios D. Fausto Oráyen, D. Antonio Sanz López y D. Mariano Ciá. En el dia 14 se repartieron los premios, que consistían en libros y me dallas de plata, á presencia del ayuntamiento, de la junta de estudios y es cuelas, y de un numeroso concurso. Hecha la distribución de los 24 prem…</t>
  </si>
  <si>
    <t>Orbegozo, Giabricl</t>
  </si>
  <si>
    <t>Giabricl Orbegozo</t>
  </si>
  <si>
    <t>…res sobre la adjudicación de? premios, lo* qué en el acto fueron distribuidos en esta forma. Matemáticas: á Dr Carlos Es pinóla , y á D. Juan Poey el accessit. Lengua francesa ¡ á D. Giabricl Orbegozo , y á D. Luis Poey el accessit. Crramdtica castellana: á D. Joscf Ma ría Agu'irre, yá D. Manuel Jane el accessit.Dibitjo: á D. Juan Poey, y i D. Carlos Espinóla el áctessil. Escritura .* á í). Josef Manuel César ,y á Don Guillermo Larraganel accessit. Lectura…</t>
  </si>
  <si>
    <t>Orciz, Gregorio</t>
  </si>
  <si>
    <t>Gregorio Orciz</t>
  </si>
  <si>
    <t>…debida gratitud .qué(merece Ja protección que la magna nimidad de nuestro; augusto Soberano dispeosa á la virtud j á ias ciencias y ar tes. Hecha la señal dé la apertura el alumno D. Gregorio Orciz dé la Puente</t>
  </si>
  <si>
    <t>Ordiera, Francisco</t>
  </si>
  <si>
    <t>Francisco Ordiera</t>
  </si>
  <si>
    <t>…hablan dicho que Diego Torres, alias el Charro, se hallaba Cobrando contribuciones con unos cuantos compañeros, hice salir con toda precaución al capitán de realistas de la Piedad D. Francisco Ordiera, en com binación con el teniente de la misma clase de Teotihuacan, destacado en el arenal D. Antonio María de Herrera y de tropas de Cuernavaca, á cuyo co mandante oficié al intentopero ni siquiera rastros de semejantes ladrones en contraron en el parage quem…</t>
  </si>
  <si>
    <t>Ordoñez</t>
  </si>
  <si>
    <t>721</t>
  </si>
  <si>
    <t>…suficientes para desplegar, y en ellos la ar tillería, los dragones de Ja Frontera en el flanco derecho, y los lanceros del Rey y dragones de Arequipa en el izquierdo, se puso el comandante Ordoñez en la columna del centro con los regimientos de Burgos, Zapadores y Concepción para atacar al frente montando los cerros; la columna de la de recha, mandada por Primo , con el del Infante y Arequipa iba destinada á ata car paralelamente á la división por la f…</t>
  </si>
  <si>
    <t>Ordoñez, Anselmo</t>
  </si>
  <si>
    <t>Anselmo Ordoñez</t>
  </si>
  <si>
    <t>6ii ' Por providencia del Sr. D. Joaquín de Aímazan, teniente de corregidor de esU . tnüy heroica villa; y escribanía: dé 1 ¡número de D. Anselmo Ordoñez, se ha manda do que respecto á estar entendiendo sóbre la aprehensión de unas porciones de plata de peso de 42 onzas, con inclusión del hierro, que tienen, y que son restos de un» araña, y media luna de la mistria especie, se anuncie ál público para que la pe…</t>
  </si>
  <si>
    <t>…e en la gaceta para satisfacción dej interesado. Por providencia del Sr. D. Joaquín de Almazan y Jimeno, teniente corregidor de esta muy heroica villa t y escribanía del numero de D. Anselmo Ordoñez, se sub astan en término y jurisdicción de la villa de Carabaña: primeramente 3 fanegas de tierra'de regadío con su alameda en la isla que llaman de D. Diego, inmediata al rio y el .caz quje ia riega , tasada cada fanega era 2500 rs.; un cañamar en *Ia vega d…</t>
  </si>
  <si>
    <t>…30 días, que deberán contarse desde el siguiente á esta publicación. Por providencia del Sr. IX Joaquín de Almazan, teniente corregidor de esta muy heroica villa, y escribanía de D. Anselmo Ordoñez, se subasta por 20 dias mas una casa sita en el lugar de Vailecas, de esta,jurisdicción, en la calle de los Pa jeros, comprensiva de 9063 pies superficiales de fondo, tasada con cubas, viga de lagar, pozo, pila, cueva con 18 tinajas y cuatro parrillas» en 396…</t>
  </si>
  <si>
    <t>Ordonez, Anselmo</t>
  </si>
  <si>
    <t>Anselmo Ordonez</t>
  </si>
  <si>
    <t>…= Gaspar Vigodet. Por el juzgado del Sr. D. Angel Fernandez de los Ríos, del Consejo de S. M., teniente primero de corregidor de esta muy heroica villa, y escribanía del número de D. Anselmo Ordonez, se halla instancia pendiente en razón á la pertenencia de los cortos.bienes quedados por el fallecimiento intestado de D. Josef Martínez Matienzo, vecino de esta corte, que falleció en 18 de Diciembre de 1812, los que se reclaman por sus sobrinos.carnales D.…</t>
  </si>
  <si>
    <t>…osef Rubio, del Consejo de S. M., teniente de .corregidor de esta muy heroica villa. La persona que quiera mejorar dicha postura acuda ante dicho señor, y escribanía deí número de D. Anselmo Ordoñez, que se le admitirá la que hiciese. Se vende en esta corte á voluntad de su dueño una librería compuesta de mas de 4© volúmenes, los mas de ellos modernos, de medicina, cirugía, anatomía, partos, botánica, con las plantas iluminadas, de química, física é hist…</t>
  </si>
  <si>
    <t>…corriente, á. las 1 2 de su mañana» en la audiencia del Sr. D. Manuel Josef Rubio , del Consejo de S. M., teniente corregidor de esta muy heroica villa, y escribanía del número de D. Anselmo Ordoñez, La persona que quisiere mejorar aquellas; ó hacerla de nuevo á las que no la tienen acuda, ante dicho señor y expresada escribanía, que se le admitirán las que se hicieren siendo arregladas. • v ■- • , ].*■ A virtud de providencia del Sr. D. Josef López del…</t>
  </si>
  <si>
    <t>Ordoñez, Josef</t>
  </si>
  <si>
    <t>Josef Ordoñez</t>
  </si>
  <si>
    <t>…o dentro de la fortificación por detras de la iglesia, juntándose con los.» mios; al teniente de S. Luis Potosí D. Ignacio Bravo, y al teniente graduado del regimiento de Veracruz D. Josef Ordoñez ; al capitán de realistas de Te—? loioapan, graduado de teniente coronel, D. Tomas Diáz, y al alférez D. Ma-riano Estrada; al capitán de realistas de este real D. Josef Embriz, y te niente de la misma D. Vicente Patino, quienes con sus compañías asaltaron* co…</t>
  </si>
  <si>
    <t>Ordoñez, Juan Ruiz</t>
  </si>
  <si>
    <t>Juan Ruiz Ordoñez</t>
  </si>
  <si>
    <t>…apitán del Real cuerpo de ingenieros Don Francisco Alvarez: los capitanes D. Camilo Acuña, D. Manuel Unzueta y D. F rancisco Despot: el ayudante D. Aniceto Valverdet los tenientes Don Juan Ruiz Ordoñez., D. Vicente González y D. Antonio Henriquez: los sub tenientes D. Diego Duran, D. Vicente Benavides y D. Tomas Calvo: el ca pitán D. Manuel Pinuer; y el subteniente D. Josef Ugarte. ,,Ultimamente concluyo con demostrar el mayor -sentimiento por la muerte del…</t>
  </si>
  <si>
    <t>Ordoñez, Manuela</t>
  </si>
  <si>
    <t>Manuela Ordoñez</t>
  </si>
  <si>
    <t>…tó haber hilado y-blanqueado después de tejida r 300' rs. á Doña María'Trelles Infanzón del concejo de Lena , por haber elaborado cuatro ar robas de almidón de patatas : 300 rsf-á Doña Manuela Ordoñez, del concejo de Aller , por haber presentado 24 pares de medias de lana del pais, justifi cando haberlas trabajado por sí misma, sin perjuicio de sus labores domesti cas: 100 rs. á Manuela García, de esta ciudad,^por haber acreditado que en el discurso* del a…</t>
  </si>
  <si>
    <t>Ore, Rodrigo de</t>
  </si>
  <si>
    <t>Rodrigo de Ore</t>
  </si>
  <si>
    <t>…Rey nuestro Señor; lo hice escribir por su mandado. En atención á los distinguidos méritos contraídos en América por el reve rendo obispo de Córdoba del Tucuman , electo de Avila, D. Rodrigo de Ore llana, y á que ha acreditado de un modo positivo su acrisolada lealtad , sir viendo sus continuos padecimientos y constancia en las mas apuradas circuns tancias de egemplar y modelo á los gefes y fieles vasallos del Rey nuestro Se ñor en ultramar, ha venido S…</t>
  </si>
  <si>
    <t>Orellana, Estéban Antonio de</t>
  </si>
  <si>
    <t>Estéban Antonio de Orellana</t>
  </si>
  <si>
    <t>…ención á los méritos y circunstancias del Excmo. Sr. conde de la Cortina, se ha servido S. M. agraciarle con la gran cruz de Isabel la Católica. En virtud de providencia del limo. Sr. D. Estéban Antonio de Orellana, del Consejo y Cámara de S. M. en el Real y supremo de la Guerra, y asesor general de los cuerpos y tropas de casa Real y su juzgado privilegiado , se cita , llama y empla za á todas y cualesquiera personas que se conceptúen con derecho a lov bienes que dados…</t>
  </si>
  <si>
    <t>…del .derecho que crean asistirles ante dicho señor; con apercibimiento de que pasado sin haberlo hecho íes parará el per juicio que haya lugar. En virtud de providencia del limo. Sr. D. Estéban Antonio de Orellana, del Consejo y Cámara de S. M. en el Real y Supremo de la Guerra , y asesor general de los cuerpos y tropas de casa Real y su juzgado privilegiado, se cita,.llama y em plaza á todas y cualesquiera personas que se conceptúen con derecho á los bienes quedados c…</t>
  </si>
  <si>
    <t>Orfila, Mateo</t>
  </si>
  <si>
    <t>Mateo Orfila</t>
  </si>
  <si>
    <t>…. para el gobierno y admi nistración de. la hacienda militar de España. Véndese á 8 rs. en el despacho de la imprenta Ueal.. Los suscriptpres á los Elementos de química-médica por D. Mateo Orfila acu diráná la librería.de^Rañz» calle dé la Cruz,1 á recoger el tomo r.°, y adelantar el importe del 2.0 y último’; advirtiendo que estará abierta la suscripción todo el mes de Abril, en que se publicará el 2.°, y pasado dicho término se venderán los egerapla…</t>
  </si>
  <si>
    <t>…ía de provincia; con apercibimiento de que pasado di cho término sin haberlo hecho les parará el perjuicio que haya lugar. Los suscriptorés á los Elementos de química * médica por D. Mateo Orfila acu dirán á la librería de Ranzj calle de la Cruz, á recoger el 2.0 y último tomo. En la misma se hallarán dichos egemplares á 64 rs. en rústica y 72 en pasta. EN LA IMPRENTA REAL.</t>
  </si>
  <si>
    <t>Orfila, Mateo Pedro</t>
  </si>
  <si>
    <t>Mateo Pedro Orfila</t>
  </si>
  <si>
    <t>…ar á los envenenados ó asfixiados, y medios propios pa ra reconocer los venenos, y los vinos adulterados, y para distinguir la muerte verda-’ dera de la aparente. Obra escrita por D. Mateo Pedro Orfila, médico de S. M. Cris tianísima , y miembro correspondiente del instituto de Francia &amp;c. &amp;c. De esta obra, que con llevar al frente el nombre de Orfila tiene ya toda la recomendación posible» hace los mayores elogios la sociedad de la facultad de medicina de…</t>
  </si>
  <si>
    <t>OrlofF</t>
  </si>
  <si>
    <t>…olección de vasos etruscos perteneciente á Mr. V ivenzio, y va á ser colocada en el museo de los estudios. Esta colección es la nías rica de Europa en cuanto á vasos ■etruscos. El conde OrlofF, que ha. residido en este, reinq algunos-años, acaba de imprimir en París Una historia de los tres uitimós reinados dé Ñapóles, fun dada en las memorias inéditas de varios sugetos que han tenido parte en la administración pública. El general Maitland llego aq…</t>
  </si>
  <si>
    <t>OrloW</t>
  </si>
  <si>
    <t>…anifestaros cuan satisfactoria me ha ' !/ l l ;sido en esta ocasión. ~ Federico GuilleltiiQ? . „ Vd'.l:i En éstos dias han salido désjqhjjpara regfesar a sp torte él mayar genetai conde OrloW, á quien el Emperadór dé Rdsia-h¿biá*:enviado pata enm^ plimentár á S. M., y el coronel de Frederis* edecán de S. A. I. el gran du^'que Nicolás, que vino á traer á S. Ní. la feliz nueva del alumbramientode lh ‘gran diiqüésa Alejandra. Entrambos recibieron ¿de…</t>
  </si>
  <si>
    <t>Orramía, Francisco de</t>
  </si>
  <si>
    <t>Francisco de Orramía</t>
  </si>
  <si>
    <t>…leguas del pueblo de Penjamo y 20 del real de Guanajuato } y subdividiéndo aquellas tropas encinco secciones, la primera á las órdenes del coronel de dragones del Nuevo-Santander D. Francisco de Orramía , la segunda á las del coronel del batallón de Navarra D. Josef Ruiz, la tercera á las del teniente coronel D. Juan Rafols, comandante accidental del ifegimiento primero Americano, la cuarta á las de D. Angel Diaz del Casti llo , coronel del regimiento de Fer…</t>
  </si>
  <si>
    <t>Orrantía</t>
  </si>
  <si>
    <t>…acción militar , que espera ¿por el coinducto del mariscal de campo D. Pascual de Liñan, comandante en gefe de la división q,ue opera.en el Bajío, de quien depende la sección deil coronel Orrantía , para premiar á los que,se hubieren distinguido en ella; y en el ínterin ha. mandado desde luego que se den las gracias á dicho coronel, á los gefes, oficiales y tropa que militan bajo sut inmediato mando por éste imr portanre servicio hecho al Rey nuestro S…</t>
  </si>
  <si>
    <t>…armas Reales escarmentaron de tal modo su arrojo inconsiderado, que dudo vuelvan otra vez á probar la suerte de la ofensiva, y creo será mas di fícil el alean-zar los. „E1 citado coronel Orrantía,que llegó ayer á este campo escoltando coi» su sección un convoy de Irapuato, vuelve á salir mañana con la misma sec ción reforzada con 150 caballos en busca del rebelde Mina, que parece ha berse retirado al valle de Santiago con unos 300 hombres mal armados.…</t>
  </si>
  <si>
    <t>22$ Moreno, presos á los dos Herreras, un francés y otros rebeldes de su Infan tería: murieron en la sorpresa algunos. Todo esto lo ha hecho el Sr. Orrantía, quien salió de aquí á las 10 de la noche con caballería hasta el Venadito cerca de la Tlachiquera.” Cuya noticia tan interesante comunico á V. E. para su satisfacción y la de todos los buenos y amantes de nuestro Soberano, y la tendré mas completa si llega á…</t>
  </si>
  <si>
    <t>…se halle , librando á la vista dicha cantidad com* tra estas Reales cajas con el recibo del interesado; insertándose todo en ga ceta extraordinaria para satisfacción de V. S., del Sr. Orrantía, gefes , oficia les y tropa, y de los fieles vasallos de S. M1. «Dios guarde á V. S. muchos años. México Noviembre n de 1817.=^ Apodaca. = Sr. mariscal de campo D. Pascual de Liñan.** Asimismo se han recibido las noticias siguientes insertas en la gaceta ex t…</t>
  </si>
  <si>
    <t>/ 3x8 principal parte de este fiel vecindario, y en ella demostraron en lo general sa regocijo, brindando por la salud de nuestro Soberano, por la de V. E., y por la del coronel Orrantía. . „ . n Se dio fin á estas satisfactorias demostraciones con un baile, que á sus ex pensas dispuso en la casa consistorial él capí&amp;n D. Josef Sandoval, subdelega do de esta jurisdicción. „ Las propias demostraciones de júbilo han hecho las iglesias y pueblos…</t>
  </si>
  <si>
    <t>…z, antes de ayer viernes, á las 10 y media de la uoche, recibí la extraordinaria, fecha del mismo dia, que V. E. mandó i dicho gefe con la interesante y deseada' noticia de que el Sr. Orrantía cogió á Mina y varios de sus secuaces: con. extraordinaria complacencia, acudieron á mi casa varios vecinos y fieles va sallos de S. M., empeñados en que á esas horas hubiese salvia de artillería y* repique general de campanas. En efecto, aunque yo estaba aco…</t>
  </si>
  <si>
    <t>…a tuve noticia por mis confi dentes que el día 17 habían marchado los rebeldes hácia el rumbo de S Luis de la Paz, lo cual me confirmaron los duplicados avisos que recibí de dicho señor Orrantía. En su vista combiné con el comandante Bosinos contramarchar y perseguir á ios rebeldes; y después de haber comido la tropa un rancho, salí con mi sección para la hacienda de Monjas, y Bosinos con la suya para la del’ Rincón. Siempre en la marcha fui adquirie…</t>
  </si>
  <si>
    <t>Orrantía, Francisco de</t>
  </si>
  <si>
    <t>Francisco de Orrantía</t>
  </si>
  <si>
    <t>…i cada por este y sus secuaces contra' estas fidelísimos1 del Rey nuestro Señor D. Fernakdo vil, en Soto la Marina, el dia 24 de Abril del presente año. , . r, , ■ . &gt; ¡ Parte del coronel D. Francisco de Orrantía. .„Excmo. Sr.: Con la mayor satisfacción participo á V. Jif:haber hecho prisionero á las siete de este dia al traidor Mina:en compañía de otros 25 en el rancho del Venádito, perteneciente á la hacienda-de la Tjachiqüera, en donde estaba con 200 hombres, de lo…</t>
  </si>
  <si>
    <t>97 Parte del coronel D. Juan Pesquera. „ Excmo. Sr.: A las seis de la mañana de este .dia recibí el adjunto plie go del coronel D. Francisco de Orrantía, quien me súplica que sin pérdida de momento se lo dirija á V. E., por contener la plausible noticia de la pri sión del traidor Mina, cuya interesante noticia se la comuniqué á V. E. á las dos de la mañana, por habérmela anticipado el comandante militar de Si…</t>
  </si>
  <si>
    <t>…uientes partes. i.° Del mariscal de campo D. Pascual de T.iñan. „Excmo. Sr.: Tengo el honor de elevar, á las superiores manos de V. E. el parte circunstanciado que me ha pasado el coronel D. Francisco de Orrantía del ataque y derrota que dio con la sección de su mando el día 10 de este mes en la hacienda de la Caja al traidor, Mina y á las gavillas que había reunido en número de mas 1500 hombres. Esta completa derrita , consegui da con tanta gloria como poca pérdida d…</t>
  </si>
  <si>
    <t>…Silao Octubre 12 de 1817.= Fran cisco de Orrantía. = Sr. mariscal de campo D. Pascual de Liñan.” El Excmo. Sr. virey ha mandado dar las gracias en nombre del Rey nuestro Señor al coronel D. Francisco de Orrantía, gefe de esta sección, co mo á los comandantes, oficiales y tropa que la componían, anotándose en sus hojas de servicio este que acaban de hacer para que les sirva de mérito particular; esperando de su zelo por el Real servicio continuarán sus ata ques , como…</t>
  </si>
  <si>
    <t>…po ID. Pascual de diñan. PORMENORES DE LA PRISION DEL TRAIDOR MINA. „ Excmo. Sr.: Paso á manos de V. E. el adjunto parte circunstanciado, y relación original que me ha remitido el coronel D. Francisco de Orrantía, en que demuestra este zeloso gefe todas las ocurrencias de sus últimas mar chas en persecución del traidor Mina hasta la aprehensión del mismo, y des trucción de su gavilla en el rancho del Venadito la mañana del 27 de Octu bre último, con las demas ventajas…</t>
  </si>
  <si>
    <t>…ntando movimientos contrarios, á fin de Ver si en algún puntó ponía á los insurgentes én la precisión de sufrir ataque, á pesar de los conocimientos que se me suministraron por el coronel D. Francisco de Orrantía, y otros que por mí mismo pude‘adquirir ¿ no he conseguido lograr mis intentos. ,, La Quemada ¿ S: Luis de' lá Paz, Peña Colorada y otros puntos de ran cherías, en los que se me aseguró existia lá reunión, han sido recorridos, pero sin encontrar én ellas un s…</t>
  </si>
  <si>
    <t>…rigadier D. Manuel María de Torres Valdivia ha remitido al Excmo. Sr. virey el siguiente parte del teniente coronel JD. Gregorio de Arana. ,, Después de haber conferenciado con eí coronel D. Francisco de Orrantía, como manifesté á V. S. por mi oficio num. 14 de 18 del corriente, salí el 19 por la mañana del pueblo de Dolores, unido con la sección del teniente coronal D. Froilan Bosinos para la hacienda de la Quemada, con el objeto de dividirnos en aquel punto, y perse…</t>
  </si>
  <si>
    <t>Orraotía, Francisco de</t>
  </si>
  <si>
    <t>Francisco de Orraotía</t>
  </si>
  <si>
    <t>…graduado D. Anastasio Bu'tamante, encargando un fuerte trozo al espi tan de dragones de S. Carlos D. Miguel Beistegui para qué obrase separado, según las instrucciones que dio el coronel D. Francisco de Orraotía , la cual tuvo: que caminar toda la noche por fuera de las encrespadas montañas que circunvalan el fuerte de los Remedios para llegar á tomar las JUnaras de Pún janlo, cuya salida buscaban los rebeldes que habian podido escapar de nues tras manos, y solo se s…</t>
  </si>
  <si>
    <t>Ortega, Casimiro</t>
  </si>
  <si>
    <t>Casimiro Ortega</t>
  </si>
  <si>
    <t>…istoria natural de la Malagueta, ó pimienta de Tabasco, y noticia de sus usos,' virtudes y exención de derechos de esta saludable y gustosa especie, con la lámina de su árbol; por D. Casimiro Ortega: un cuadernillo en 4.0 de marquilla. Se halla rá á 8 rs. en la droguería de D. Antonio Herrera, calle de Postas, donde igualmen*, te se despacha dicha pimienta de Tabasco de la mejor calidad. Desde que en el ano, de 1780 se publicó éste escrito de orden del R…</t>
  </si>
  <si>
    <t>Ortfzyy, Mantiél</t>
  </si>
  <si>
    <t>Mantiél Ortfzyy</t>
  </si>
  <si>
    <t>•Menocal, teniente D. Mantiél Ortfzyy los graduados D. Pedro María, Ana ya, D. Luis Carrera, D. Ignacio Romero Pando y *D. Manuel González , al féreces D. Melchor Armenteros, D. Apolinario Rodea y D. Miguel Rodrí guez. Dragones de S. Luis: teniente coronel graduado D. Anastasio Bustamante, capitá…</t>
  </si>
  <si>
    <t>Ortiz, Anastasio Cárdena y Tomas</t>
  </si>
  <si>
    <t>Anastasio Cárdena y Tomas Ortiz</t>
  </si>
  <si>
    <t>, IO70 D. Anastasio Cárdena y Tomas Ortiz, en que me dice llegaron allí 6 rebela des á estrecharle entregase 300 pesos por mandado del cabecilla Victoria, mostrando la adjunta orden, que remito á V. S » y quede no verificarlo se ria incendiada dicha hacienda, y sus habitantes tratados con rigor * cuy…</t>
  </si>
  <si>
    <t>Ortiz, Antonio</t>
  </si>
  <si>
    <t>Antonio Ortiz</t>
  </si>
  <si>
    <t>…Domingo ligar te y portas D. Josef Ignacio Ximenez y D. Pedro Alarcon. Fieles del Potosí: capitán graduado D. Mariano Guardiola. Realistas de Apan: capitán D. Joa quín Espinosa y D. Antonio Ortiz, teniente D. Josef Ponce y alférez Don Rafael Salinas. „ También recomiendo á V. S. muy particularmente á mis ayudantes capitán graduado D. Manuel Fernandez Peredo y teniente D. Francisco Santelices, del regimiento de dragones de Moneada , y capitán graduado…</t>
  </si>
  <si>
    <t>Ortiz, Josef Antonio</t>
  </si>
  <si>
    <t>Josef Antonio Ortiz</t>
  </si>
  <si>
    <t>…hiquitos y Charcas, se encaminaron á esta capital con dicho objeto, atravesando el reino del Brasil; Dr. D. Pedro Pablo Vaca, cura rector de la catedral de Sta. Cruz de la Sierra; D. Josef Antonio Ortiz, cura coadjutor de la misión de Porongo; D. Josef Andrés Salvatierra, cura interino de S. Pedro de Buena vista, arzo bispado de Charcas; D. Josef Mariano Caílau, cura de Santiago ¿ provincia de Chiquitos; D. Francisco Xavier López, cura de S. Rafael en dicha…</t>
  </si>
  <si>
    <t>Ortiz, Josef Manuel</t>
  </si>
  <si>
    <t>Josef Manuel Ortiz</t>
  </si>
  <si>
    <t>…caballería; Doña Antonia de Molina, su muger; D. Juan Gualberto del Ribero, su hijo; una niña de cinco años, su nieta, llamada Mi-* caela; D. Mariano Riberos, alférez de milicias; D. Josef Manuel Ortiz, Don Bernardo Chaves, D. Ramón Chaves y D. Faustino Velasco. ! ■ ' Mozos sueltos. Josef María Carrillo , Josef Manuel Limpias, Josef Manuel Vaca , Josef Lorenzo Mansilla, Josef Joaquín Mercado, Bernardo Peinado, Juan Josef Guzman , Josef Joaquín Gutiérrez, Ma…</t>
  </si>
  <si>
    <t>Ortiz, Manuel</t>
  </si>
  <si>
    <t>Manuel Ortiz</t>
  </si>
  <si>
    <t>…es D. Lázaro Armendariz y D. Justo Escudero. De Sierragorda: capitán graduado de te niente coronel D. Cristóbal Villaseñor; teniente graduado de capitán D. Jo-, sef García Marín , teniente D. Manuel Ortiz , y graduados D. Pedro Ana ya, D. Luis de la Carrera y D. Ignacio Romero Pando; alféreces D. Apolinario Rodea y D. Miguel Rodríguez. De S. Luis: capitán graduado de teniente co ronel D. Anastasio Bustamante; capitán D. Andrés Huete; teniente D. Josef Gaitan;…</t>
  </si>
  <si>
    <t>Osario, Mariano</t>
  </si>
  <si>
    <t>Mariano Osario</t>
  </si>
  <si>
    <t>…16 de Diciembre de 181 f &gt; . *pPf la fragata Primorosa Mariana, dicen lo que sigue v ,,Ei iq del, corriente salieron ios 10 buques siguientes con cerca de 4^ hombre; al mando del brigadier D. Mariano Osario para la reconquista del reino de Chile. . . . „Fragata de guerra la Esmeralda con 300 hombres. Fragatas mercantes. Milagro 540. Belona 560.. Aguila 500. Castilla 440. S. Juan Bautista 450. Gobernadora 300. Presidenta 300* Comercio 250. Vigárreóá 2 50. Total 3…</t>
  </si>
  <si>
    <t>Osma, Leonardo</t>
  </si>
  <si>
    <t>Leonardo Osma</t>
  </si>
  <si>
    <t>…cabos y soldados: Premia de abajo, 1 oficial, 1 sargento, 20 cabos y soldados: D. Isidro Colls, y Díaz, capitán de Hostalrích, 8.p ligero, inspector de estas partidas el te niente coronel D. Leonardo Osma, capitán agregado aL regimiento de. infan-4* tería de Córdoba, gefe de estos distritos: el brigadier barón de Biure, tenien—&gt; te de Rey de esta plaza, comandante de estos cantones. Vilasá de Mar, un oficial, 2 sargentos , 30 cabos y soldados. Batallón de: Bar…</t>
  </si>
  <si>
    <t>Oso, Manuel</t>
  </si>
  <si>
    <t>Manuel Oso</t>
  </si>
  <si>
    <t>…juez por la escribanía de Cámara de la Sala, del cargo de D. Miguel Calvo García, en donde se les facilitarán las noticias que pidan. Se cita, llama y emplaza á D. Antonio Ponce, D. Manuel Oso rio, y demas que se juzguen interesados en nueve vales Reales, reclamados por el deán y cabildo de la santa iglesia de Zamora , á saber: los ocho de 150 pesos creación de 1.° de Ene* rodé 1808, con los núms. 266420, 270338, 292405,293435,293437, 306056, 33471…</t>
  </si>
  <si>
    <t>Osorio</t>
  </si>
  <si>
    <t>…resiones con que fue ultrajado por varios individuos de las cprtes en.sus diarios; que la formaciofo de esta causa no de be perjudicar en lo riñas mínimo la buena opinión de dicho general Osorio, ni servirle de obstáculo para sus.ascensos, grados y distinciones militares, y de consiguiente que se halla en el caso de recibir la Real cédula de la con-» decoración de la cruz chica de la Real y militar orden de S. Hermenegildo que por ésta causa le estab…</t>
  </si>
  <si>
    <t>Osorio, Manuel</t>
  </si>
  <si>
    <t>Manuel Osorio</t>
  </si>
  <si>
    <t>…de capital. Quien quisiere hacer postura acuda á la escribanía del número de Don Juan Raya. ' Se cita &gt; llama y emplaza por segundo y último término de 20 días á D. Antonio Ponce, D. Manuel Osorio y demas interesados en ocho vales Reales de 150 pesos que se han reclamado de la creación de r.° de Enero de 1808, con Jos números 266420, 276338, 292405, 293435, 293437, 306056, 334717 y 336112, en dosados últimamente en D. Melchor García, para que en dicho…</t>
  </si>
  <si>
    <t>Osorio, Manuel Miguel de</t>
  </si>
  <si>
    <t>Manuel Miguel de Osorio</t>
  </si>
  <si>
    <t>…oica villa, por auto de 24 del corriente, refrendado de Don Claudio Sanz, escribano del número, ha señalado para celebrar junta general de acreedores á la testamentaría del Excmo. Sr. D. Manuel Miguel de Osorio, marques que fue de Alcañices, el domingo 14 de Junio próximo á las nueve de la mañana en una de las salas de las casas del Excmo. ayuntamiento: y como se ignora el pa radero y habitación de muchos de los acreedores, se les cita por el presente para que concu…</t>
  </si>
  <si>
    <t>Osorno, Josef Maestre y</t>
  </si>
  <si>
    <t>Josef Maestre y Osorno</t>
  </si>
  <si>
    <t>…onvoy, el empleo de capitán de fragata: al teniente de na vio D. Antonio Josef ílel Campo, comandante del bergantín Alerta, grado de capitán de Fragata: á los tenientes de fragata D. Josef Maestre y Osorno y D. Ignacio Fernandez Flores, comandantes de los bergantines Realista y Ven gador, grados de tenientes de navio: á ios alféreces de navio D. Juan de Dios Sotelo , D. Joaquín Blanco y D. Manuel Umendia , empleos de teniente de fragata: al de igual clase D. Josef Alvarez Ramos, grad…</t>
  </si>
  <si>
    <t>Osten-Sacken</t>
  </si>
  <si>
    <t>…ones y tratos contrarios áv lainuená 'nioral, y han restablecido en todas las clases la paz y la pureza de costumbres. : RUSIA. ' Petersburgo 30 de Junio. El general de infantería conde Osten-Sacken, el mismo que cuando las tropas aliadas ocupaban á París era gobernador de aquella capital, acaba de ser nombrado general en gefe del primer egército por vacante del difunto feld-mariscal Barclay de Tolly. Mañana dormirá en Zarskojeselo S. M. el Rey de Prusia…</t>
  </si>
  <si>
    <t>Ostos, Juan Gómez de</t>
  </si>
  <si>
    <t>Juan Gómez de Ostos</t>
  </si>
  <si>
    <t>Habiéndose formado y seguido causa en esta plaza contra D. Juan Gómez de Ostos, espitan del regimiento de infantería de la Princesa, que perteneció á la división del Norte mandada por el marques de la Romana, sobre la con-» ducta militar y política que observó desde que principiaron los acontecimientos con la expresada división, y duran…</t>
  </si>
  <si>
    <t>Ostrousky</t>
  </si>
  <si>
    <t>…mbre. Ayer llegaron á esta ciudad el Príncipe Latour y Taxis, que pasaá Aquis tan ;^M:f.Jordes, consejero intimo de comercio del Rey de Prusia, que va también á aquella ciudad; el conde Ostrousky, coronel de guardias rusas y polacas, que pasa á París, y Mr. Apeláis, director general de las contribu ciones indirectas, que viene de la Haya. FRANCIA. Parte 28 de Setiembre. Los periódicos de Brüisélas* refieren un suceso trágico ocurrido en la noche del 2…</t>
  </si>
  <si>
    <t>Otaño, Pedro</t>
  </si>
  <si>
    <t>Pedro Otaño</t>
  </si>
  <si>
    <t>…dió parte el vigía de que los bandidos se retiraban : en el momento hice salir el escuadroo de Querétaro con su coman dante D. Manuel Rubio, y el del Príncipe á las órdenes de su capitán Don Pedro Otaño, con el objeto de que hiciesen un reconocimiento, y previendo que el camino que los enemigos llevaban era de alturas, no tuve por conve niente el que los siguiesen; pues tomando alguna posición ventajosa se podía acibararla acción con igualarles en pérdida, p…</t>
  </si>
  <si>
    <t>Oteiza, Ramón María</t>
  </si>
  <si>
    <t>Ramón María Oteiza</t>
  </si>
  <si>
    <t>…mpo D. Josef O^Lawlor, comandante general de este reino; ayudantes del general .en gefe- el teniente 'I&gt;. Rafael de Céspedes, alférez del regimiento caballería dragones de) Rey, y D. Ramón María Oteiza , subteniente del de infantería inmemorial de] Rey; mayor ge neral el coronel marques de Campo-Hermoso , primer comandante de Jas Compañías de infantería fijas de la costa; ayudante dél,mayor general D. Pe dro Morera, subteniente de la primera ae Almería; min…</t>
  </si>
  <si>
    <t>Oütierrez, Vicente Trancho</t>
  </si>
  <si>
    <t>Vicente Trancho Oütierrez</t>
  </si>
  <si>
    <t>…rio, calle ancha de S. Bernardo, en la celda del Padre Mtro. Fr. Luis de la Puente, ó del P» predicador Fr. Julián Jaime. En virtud de providencias peí Consejo se han recogido por D. Vicente Trancho Oütierrez, comisionado del húmero de procuradores de los Reales Consejos, dife-’ rentes legajos de memoriales ajustados, papeles en derecho impresos y manuscritos: que se hallaron en la casa del Dr. D. Josef Ignacio Joven de Salas, abogado del co legióle es'tacQrte, qu…</t>
  </si>
  <si>
    <t>Ovejas, Felipe</t>
  </si>
  <si>
    <t>Felipe Ovejas</t>
  </si>
  <si>
    <t>…contribuye el cabildo eclesiástico por razón de conducción. Los pretendien tes dirigirán sus solicitudes á la. secretaría de ayuntamiento de la misma villa, que es tá al cargo de D. Felipe Ovejas y la Justicia; en la inteligencia que ha de proveerse pasado el 31 del corriente, hasra cuyo día se admitirán memoriales. Guia del oficial en campaña: esta obra, vmica en su clase, es de una recomenda ción muy singular entre los militares instruidos en el art…</t>
  </si>
  <si>
    <t>Ovierne, María Amalia de Acosta y</t>
  </si>
  <si>
    <t>María Amalia de Acosta y Ovierne</t>
  </si>
  <si>
    <t>…‘ , Por providencia del Sr. D. Manuel Fernandez Gamboa, alcalde de la Real Ca sa y Corte, refrendada del escribano de provincia D. Valdomero .Moraleda, dada á instancia de la Sra. Doña María Amalia de Acosta y Ovierne, de esta vecindad, actual marquesa de Salas, y poseedora de dos de los mayorazgos fundados con apro bación del Consejo Real de S. M. de los bienes que dejó el Excmo. Sr. D. Jósef Joaquín de Montealegre, duque de este.título, se cita, llama y emplaza en primer…</t>
  </si>
  <si>
    <t>Ovkeíi</t>
  </si>
  <si>
    <t>266</t>
  </si>
  <si>
    <t>…erca de la Dieta , há pasado á todos Iof •tros ministros una nota oficial , con inclusión de' la sentencia que el tribunal supremo de Justicia de su corte ha pronunciado contra el profesor Ovkeíi, declarándole reo de la violación de la libertad de imprenta' establecida allí. Corre en esta ciudad un papel que contiene las-peticiones que 4* ciudad de Cobíentza ha hecho al Gobierno de Prusia, y las contestaciones y reparos que les ha puesto el Príncipe c…</t>
  </si>
  <si>
    <t>Oyarvide, Josef Ignacio</t>
  </si>
  <si>
    <t>Josef Ignacio Oyarvide</t>
  </si>
  <si>
    <t>…segundos Josef de Sosa y Pedro de la Parra, cabos primeros Josef Ig-r dichonació Humada, Justo Reyes y Dionisio Chirinos._Agregados d cuerpo. El teniente de caballería de Frontera D. Josef Ignacio Oyarvide y</t>
  </si>
  <si>
    <t>Ozaeta, Josef</t>
  </si>
  <si>
    <t>Josef Ozaeta</t>
  </si>
  <si>
    <t>…dados. De reten: 3 subalternos, - 2 sargentos4 cabos y 23 soldados de infantería, ,y .29 de ca ballería del tercer escuadrón de Voluntarios de España. Comandante de este Cantón el brigadier D. Josef Ozaeta: su residencia en Conií. 2.0 Cantón. Puerto-Real. Su extensión desde Santi-Petri á la barra del Puerto dé Santa María. Puntos de ocupac ión militar qué abraza, y fuerza que debe cubrirle. El Corh l: 1 subalterno , T sargento, 3 cabos y 16 soldadol de infanter…</t>
  </si>
  <si>
    <t>Pa</t>
  </si>
  <si>
    <t>…artes de la Regencia sigue la salud pública si nno vedad alguna. ‘ ■ " ; ; ESPAÑA. '■J';/ •i México 8 de Enero, El. Excmo., Sr. virey .acaba de .recibir del.Sr. .mariscal de campo D. Pa$cual de Liñan, comandante general de la división de Guanajuato, el parte si :guiente.::: . .......</t>
  </si>
  <si>
    <t>Pa, Cayetano</t>
  </si>
  <si>
    <t>Cayetano Pa</t>
  </si>
  <si>
    <t>…' ' i * &gt; Parte del comandante general de la quinta división T&gt;. Sebastian de la Calzada al Sr. Capitán general de Venezuela. „E1 subteniente de cazadores del batallón de Barinas D. Cayetano Pa chano, que con 4 soldados de su compañía salió del apostadero en una cu riara con correspondencia del Real servicio para esta plaza, acaba de egecutar una acción distinguidísima y del mayor mérito. Uaa partida de 18 ban didos, capitaneada por el bárbaro y ase…</t>
  </si>
  <si>
    <t>Pa, Francisco</t>
  </si>
  <si>
    <t>Francisco Pa</t>
  </si>
  <si>
    <t>…e he tenido el honor de mandar haya acreditado otra cosa mas que honor, valor y decisión. Recomiendo á V. S., para que si lo tiene á bienio haga á la superioridad, á mis ayudantes teniente D. Francisco Pa checo y cadete D¿ Josef Ignacio Basadre, ambos de mi regimiento, que en medio de los mayores riesgos comunicaban mis órdenes con exactitud, y lo níismo el teniente de:dragones de Querétaro D. Mariano Rico, que con 20 hombres de su regimiento se bailaba á mi i…</t>
  </si>
  <si>
    <t>Pa, Josef</t>
  </si>
  <si>
    <t>Josef Pa</t>
  </si>
  <si>
    <t>…ervicios de D. Francisco de Leiva, mi nistro togado del consejo de Indias, se ha servido S. M. concederle la plaza efectiva de la Cámara , que resulto vacante por fallecimiento de D. Josef Pa bló Valiente. 1 — ' • ~ * ^ ‘ 1 ‘ ' '"r ------------------------ — —;--------------------------------- ------- —-------------------------------------------------- :------------------ :----------- -——— n n 1111 n mi Doña Elisa Garnerin egecutárá el domingo 19…</t>
  </si>
  <si>
    <t>Pa, Ramón</t>
  </si>
  <si>
    <t>Ramón Pa</t>
  </si>
  <si>
    <t>…e Mechonean á D. Antonio Camacho : una ra ción de esta misma iglesia, vacante por ascenso de D. Antonio Cortés y dar te, al medio racionero D. Juan Bautista Eguren; esta resulta á D. Ramón Pa zos, y otra inedia ración, vacante en la propia iglesia por renuncia de D. Ma tías Josef de Feria, á D. Bérnardiño Pini y Ledos: la ración que ha quedado vacante en la catedral de Guadalajara por muerte del conde de Sta. Rosa á Don Miguel Ramírez, medio racio…</t>
  </si>
  <si>
    <t>Pablo</t>
  </si>
  <si>
    <t>…patriotas que hubiesen muerto en defensa de la justa causa de la nación, ha cabido en suerte del primer extracto de la de este dia á Doña Antonia Ramona Suarez, hija del patriota D. Pablo, muerto en el campo del honor. ARTICULO DE OFICIO. S. M. se ha servido confirmar á D. Joaquín Tenreiro y Montenegro, due ño jurisdiccional de varios cotos y pueblos del reino de Galicia, su gentil hombre , y coronel de milicias agregado al provincial de Lugo,…</t>
  </si>
  <si>
    <t>Pacca</t>
  </si>
  <si>
    <t>…stumbran á proveerse aqui de los artículos que les hacen falta. ITALIA. Roma 12. de Noviembre. La congregación de negocios criminales se reunió nuevamente bajo la pre sidencia del cardenal Pacca, gobernador de Roma, para juzgar á diez indi viduos de la secta de los carboneros, los cuales, habiendo resultado convictos por sus propias confesiones, ó por declaración de muchos testigos de haber tomado parte mas ó menos directa en una conspiración para ha…</t>
  </si>
  <si>
    <t>Pachano, Cayetano</t>
  </si>
  <si>
    <t>Cayetano Pachano</t>
  </si>
  <si>
    <t>…flecheras.” Siguen recomendaciones del valor y actividad de los vencedores, principalnfente de Francisco Martínez, patrón de una de las flecheras, del ca pitán D. Juan Duran, del teniente D. Cayetano Pachano, del sargento se gundo Encarnación Bernal, del teniente D. Josef de la Torre, y del cabo primero Elias de S. Vicente. „Dios guarde á V. E. muchos años. Pueblo de Apurito Setiembre 4 de 1817. = Sebastian de la Calzada. = Excmo. Sr. D. Pablo Morillo.” 2,° Del c…</t>
  </si>
  <si>
    <t>Pacheco, Juan Josef Rivas y</t>
  </si>
  <si>
    <t>Juan Josef Rivas y Pacheco</t>
  </si>
  <si>
    <t>…Franco y, D. Ignacio Sosa 6, D* Bernardo Ferrara 6 , D. Juan Lander 4, Doña María Gerónima Tovar 4, D. Andrés . de Ibarra 1, D. Juan de la^ Madriz: 3 , D.; Josef María Madriz. 1, D. Juan Josef Rivas y Pacheco 2, D. Lorenzo Lasa 8, D. Fernando Solórzano 10, tÍ), Pedro Goitzalez/.i A J), JosefrtMaríf Monserrafe^D* Josef, María Mu A Josef Ramo» ro 2, D. Esteban de Ponte í^anciscq^Sosajarrera j Zúlüeta i, 13. Miguel Salzaineridf5’,* D. Bernardo Butragueño 3, D. Bemarr…</t>
  </si>
  <si>
    <t>Pacheco, Nicolás</t>
  </si>
  <si>
    <t>Nicolás Pacheco</t>
  </si>
  <si>
    <t>…ías de infantería fijas de la costa; ayudante dél,mayor general D. Pe dro Morera, subteniente de la primera ae Almería; ministro principal de Real hacienda’ el comisario de guerra D. Nicolás Pacheco. Granada 2 5 de Juíió de 1818. == Jósef Qrtáwlór. r ^ ( ’ á ; . £ - Por oficios del: cónsul de S. M; én; el íAIgarbé de fechas 27y 31de Julio se sabe que-la fiebre gástrica observada en el puerto de Lagos va desaparecien do, sin extenderse á otros pueblos. De…</t>
  </si>
  <si>
    <t>Padilla, Patricio</t>
  </si>
  <si>
    <t>Patricio Padilla</t>
  </si>
  <si>
    <t>…ancteses penetraron Sierra Morena por el punto de Barranco hondo, y entraron en Andalucía, se perdió una niña de edad entonces de 7 años llamada María del Carmen, hija legítima de D. Patricio Padilla, sargento primero que era del regimiento de infantería i.°de Badajoz, en el dia con igual empleo graduado.de subteniente del de Guada la jara, y de Doña María Teresa Creu. La persona que supiere su paradero sé servirá avisarlo en Madrid, á D. Miguel de Ayala,…</t>
  </si>
  <si>
    <t>Padrón, Antonio Josef Ruiz de</t>
  </si>
  <si>
    <t>Antonio Josef Ruiz de Padrón</t>
  </si>
  <si>
    <t>…pel fino; 48 rs* el segundo cuaderno,* 7 *5 el tercero. Carta tercera del Dr. D., Domingo de Dutari, del Consejo de S. M., caballero pensionado de la orden de Cirios m &amp;c,, al Dr. D. Antonio Josef Ruiz de Padrón, diputado queTue en las'cortes extraordinarias, sobre varios puntos de su dictamen en orden al. tribunal de la Inquisición, leído en la sesión pública de 18 de Enero del; año 1813. Se vende con las dos primeras en la librería de Francés, calle de las Carretas…</t>
  </si>
  <si>
    <t>Paez, Francisco Verdejo</t>
  </si>
  <si>
    <t>Francisco Verdejo Paez</t>
  </si>
  <si>
    <t>…mañana, y por la tardé de 4 á 6 j ad^ virtiendo que no se venderán por menor. Principios de geografía astronómica, física y política, arreglados á los últimos tratados de paz, par D. Francisco Verdejo Paez, profesor de matemáticas y geo grafía én esta corte. Para la composición de esta obra se ha valido el autor de Jas mejores que se han publicado hasta él dia, igualmente que de las observaciones que le han suministrado muchos años de enseñanza de esta ciencia.…</t>
  </si>
  <si>
    <t>Paez, Francisco Vérdejo</t>
  </si>
  <si>
    <t>Francisco Vérdejo Paez</t>
  </si>
  <si>
    <t>…en la librería de Arribas, cálle de las Carretas. Tmtado de agrimensura ó arte de medir tierra y aforar líquidos, para uso é ins«" truccion.de agrimensores y labradores: su; autor D. Francisco Vérdejo Paez. Esta obra se divide en dos partes: la primera comprende un tratado elemental de aritméti ca muy sencillo y metódico; y la segunda, después desunas breves nociones de geo-; metjría, da reglas para la medida y repartición de cualquier terreno, para los plantío…</t>
  </si>
  <si>
    <t>Paino, Antonio</t>
  </si>
  <si>
    <t>Antonio Paino</t>
  </si>
  <si>
    <t>…as materias siguientes :íuno de ellos todo el catecismo de la doctrina del padre Astete: ocho los cuatro prin cipales misterios de nuestra religión: catorce el compendio del limo. Sr. Don Antonio Paino, arzobispo de Burgos, y el' histórico de Fleuri; y concluido, rfuerori préguhtados por ' el canónigo 'y cura mayor, que. asistieron por indis</t>
  </si>
  <si>
    <t>Pala, Victoriano</t>
  </si>
  <si>
    <t>Victoriano Pala</t>
  </si>
  <si>
    <t>…lino Paloniiño, maestro de la Real escuela del barrio del Buen-Suceso, habiendo precedido sorteo por estar en igual censura con D. Martin Estevez de Ribera y D. Narciso Herranz: á D. Victoriano Pala cios, maestro de la Real escuela del barrio del Hospital general, habiendo precedido sorteo por hallarse en igual censura con D. Vicente García Galah y D. V ictoriano Molina: á D. Antonio dél Olmo, maestro de la Real escue la del barrio de la Comadre : á D. F…</t>
  </si>
  <si>
    <t>Palacios, Joaquín María</t>
  </si>
  <si>
    <t>Joaquín María Palacios</t>
  </si>
  <si>
    <t>…n Ledesma á Francisco Diez. Instituciones de Castilla, escritas por D. Ignacio Jordán y Aso y D. Miguel de Manuel, corregidas, Ilustradas y adicionadas especialmente con notas por D. Joaquín María Palacios, catedrático de prima de leyes patrias que fue de la universidad de Huesca, mandadas explicar en todas por Real orden, y según el ultimo plan de es tudios, para instrucción de los profesores de esta ciencia: es obra necesaria á los que han de ser recibidos de…</t>
  </si>
  <si>
    <t>Palacios, Juan Galvéz</t>
  </si>
  <si>
    <t>Juan Galvéz Palacios</t>
  </si>
  <si>
    <t>…s distinguidas ó ilustradas, y se dio principió áí acto por una elegante oda, que para estímulo de los jóvenes, y en obseqyjp.djí útjlv-^ajbleciipieitto, recitó con toda propiedad D. Juan Galvéz Palacios. En seguida -fueron examinados uno poi[ uno los alumnos-sabre las cuatro operaciones de aritmética con números en-» teros, quebrados, denominados y‘decimales * • ratees rcuadrada y: cúbica, ra-» zones y proporciones, y regías de tres; como también sobre' los,…</t>
  </si>
  <si>
    <t>Palacios, Ramón</t>
  </si>
  <si>
    <t>Ramón Palacios</t>
  </si>
  <si>
    <t>…egundo batallón del re gimiento infantería de Murcia, y asistente del capitán D. Vicente Castaños, hijo de D. Manuel (difunto) y Doña Josefa Calleja, su viuda, nieto y heredero de D. Ramón Palacios, cuya testamentaría pende en el juzgado del Sr. D. Josef Cavarn'iles, deíjConsejo de S. M., su alcalde de casa, corte y provincia,)' escribanía de D. Miguel Josef García de la Madrid, ó á los descendientes legítimos del propio D. Julián, para que en el términ…</t>
  </si>
  <si>
    <t>…", ‘ / ‘; ■ m Quien quisiere hacer postura al piso principal cíe una casa, sita en la villa de Morata, y su calle publica, tasada en 12500 rs., perteneciente á la testamentaría de D. Ramón Palacios, y se vende á instancia de sus herederos, acuda ante el Se ñor D.;JosefiCavaniltes, del Consejo de S. M., su alcaide dé Casa y Corte, por la escribanía de provincia de D. Miguel Josef García de la Madrid, en el término dé 20 dias contados desde su publicación…</t>
  </si>
  <si>
    <t>…ias del reino. .Quien quisiere hacer mejora al piso principal de una casa, sita; en la villa de Morata y su calle pública, tasada en 12500 rs., perteneciente á la testamentaria de D. Ramón Palacios, que se vende á instancia de sus herederos, y á laque está hech$ postura en 8340 rs. en metálico, acuda ante el Sr. D, Josef Cavanilles, del Conseja de S. M., su alcalde de Casa y Corte, por la escribanía de provincia de D, Miguel josef García de la Madrid,,…</t>
  </si>
  <si>
    <t>Palafox, Josef</t>
  </si>
  <si>
    <t>Josef Palafox</t>
  </si>
  <si>
    <t>…de Ja Real distinguida orden de Carlos iii; D. Raíael Pinos ; marques; de Monsalú y marques de Casa Ma drid; «I obispo de Tarazona, inquisidor, general; los ^capí^anes generales .Don Josef Palafox y .Melci, cabaHerp gran cruz de la Real y militar orden, de San Fernando, y de la de S. Hermenegildo; D. Joaquín Blak, caballero de íás ; mismas Reales órdenes; D. Pedro Mendinueta, consejero ,4e Estado, caballe ro gran cruz de la &lt;je Cárlos iii , y de la de…</t>
  </si>
  <si>
    <t>Pálafox, Juah de</t>
  </si>
  <si>
    <t>Juah de Pálafox</t>
  </si>
  <si>
    <t>…os' en 'esta última impresión los egercicios devotos de confesar y recibir la sagrada comunión,, oraciones para el santo sacrificio de la misa, sacados' de las obras deí limo. Sr; D. Juah de Pálafox y i Mendoza, obispo de Osma. Se hállara éñ la iiiiprehta &lt;de Davilá, cálle de Báririoniie^ . Vo, y en las librerías de Sojo, calle de las Carretas, y de Novillo, calle de la Con cepción Gerónima. • . . " , ’ . ' ;” ; Romancero é historia del muy valeroso1 cab…</t>
  </si>
  <si>
    <t>Palas, Engracia</t>
  </si>
  <si>
    <t>Engracia Palas</t>
  </si>
  <si>
    <t>…natural que era de la villa de Geronce, en el reino de Francia, se han formado autos de testamentaría en el juzgado de esta capitanía gene ral de Castilla la, Nueva á instancia de Doña Engracia Palas, su sobrina y here-, dera, natural de la propia villa; y por auto del juzgado de este dia se ha mandado hacer presente al público esta testamentaría, para que cualquiera acreedor ó intere sado á los bienes de ella acuda al tribunal á usar de su derecho en el…</t>
  </si>
  <si>
    <t>Palas, Juan</t>
  </si>
  <si>
    <t>Juan Palas</t>
  </si>
  <si>
    <t>…sticia, la que se les administrará en lo que la tuvieren; con aper cibimiento que trascurrido dicho término sin haberlo hecho les parará el perjuicio que haya lugar. Por muerte de D. Juan Palas, comisario de guerra honorario, y secretario que fue de esta capitanía general, natural que era de la villa de Geronce, en el reino de Francia, se han formado autos de testamentaría en el juzgado de esta capitanía gene ral de Castilla la, Nueva á instancia de…</t>
  </si>
  <si>
    <t>Palfi</t>
  </si>
  <si>
    <t>Ntfm. ii 7. [f cuartos.] 981 * ♦ DEL MARTES 29 DE SETIEMBRE DE 1818. ■ ITALÍA. ! ’ ’ ‘ _; - ; rí ‘;-. * * Roma 23 de Agosto. Anteayer salió de aquí para Viena el conde Palfi, que lleva, según se asegura, el convenio ajustado sobre Jas diócesis dé Saltzburgo, Tirol y Vorarlberg. Ayer volvió aquí de su yiage á Toscana el ministro de Rusia conde de Italinski. ; ■ . ' r La comitiva que debe acompañar á S. M. el Rey de las Dos-Sicilia…</t>
  </si>
  <si>
    <t>Palma, Blas Joaquín Alvarez de</t>
  </si>
  <si>
    <t>Blas Joaquín Alvarez de Palma</t>
  </si>
  <si>
    <t>…rtado el país de Granada, cuida con el mayor zelo de las seis escuelas gratuitas dos de niños y cuatro de niñas, que sostiene totalmente á sus expensas hace tres años el limo. Sr, D. Blas Joaquín Alvarez de Palma, dignísimo arzobispo de ésta diócesis, ry en .lasque se educan ha^tá el número de mas de* ¿706alumnos5constituidos «n la mayor indigencia,invirtíéndose en ellas anualmente masde £5©* rs^;. y habiendo obten iciola sociedadde su ge nerosa munificencia , tanto e…</t>
  </si>
  <si>
    <t>Palma, Francisco González</t>
  </si>
  <si>
    <t>Francisco González Palma</t>
  </si>
  <si>
    <t>…ez: los subtenientes D. Nicolás O ^res y Palafox y D. Ramón González: los subtenientes del Real cuerpo de artillería D. Josef Mogro y D. Santos Caravantes : el coronel de milicias Don Francisco González Palma: el capitán del Real cuerpo de ingenieros Don Francisco Alvarez: los capitanes D. Camilo Acuña, D. Manuel Unzueta y D. F rancisco Despot: el ayudante D. Aniceto Valverdet los tenientes Don Juan Ruiz Ordoñez., D. Vicente González y D. Antonio Henriquez: los su…</t>
  </si>
  <si>
    <t>Palmero, Francisco Xavier</t>
  </si>
  <si>
    <t>Francisco Xavier Palmero</t>
  </si>
  <si>
    <t>…entes: D. Hilario Nogueras , D. Antonio Rodríguez y D. Josef Amador han sido confirmados en sus empleos, y obtenido la nobleza personal. '■ Capitanes de las guerrillas de Barinas. D. Francisco Xavier Palmero fue confirmado en su empleo, con la nobleza personal y medalla de oro. Don' Teodoro García fue confirmado en su empleo, y condecorado con la noble za personal. Escuadrón dé Tisnados. J&gt;. Francisco Polanco se le confirmó en el em pleo de capitán, y obtuvo la m…</t>
  </si>
  <si>
    <t>Palmerston</t>
  </si>
  <si>
    <t>…es, recelosos de una erupción, aban donan sus hogares y haciendas. GRAN BRETAÑA. Londres 8 de Abril. Un asesino acaba de cometer el horroroso atentado de tirar un pistoleta-? zo á lord Palmerston , secretario del despacho de la Guerra , á tiempo , que S. E. subía la escalera. Por fortuna la bala no hizo mas que roz¿r la cadera, y solo produjo una leve contusión------El sugeto que ha cometido este delito execrable es un oficial retirado llamado Davies,…</t>
  </si>
  <si>
    <t>422* hombre de buenos modales. Lo tínico que se le ha oido hasta ahora es que sus desgracias, le habían reducido á la necesidad de matar á lord Palmerston, ó de matarse á sí mismo. Uno de los periódicos de esta capital asegura que S. A. R. el duque de Clarence está para casarse con una princesa de la casa de Hesse. laem Lord Palmerston se halla hoy sin novedad ailguna; y asi* es de creer que la contusión no ten…</t>
  </si>
  <si>
    <t>…ibu nal de apelación de Paris á ser encarcelado y pagar una multa. GRAN BRETAÑA. Londres 13 de Abril. Se han hecho varios interrogatorios al teniente Davies que intentó asesinar á lord Palmerston, y por ellos se ve qué el agresor estaba demente , lo cual parece que podrá justificarse. El almirante Douglas antes de salir de la Jamaica, de donde llegó ante ayer, recibió visita de un sugeto de aquella isla que tiene 143 años de edad, y goza de tan buena…</t>
  </si>
  <si>
    <t>Palomino, Juan</t>
  </si>
  <si>
    <t>Juan Palomino</t>
  </si>
  <si>
    <t>…o de todas las naciones conocidas' hasta ,cl siglo xvi:¿ sin iluminar , cada uno á 6 rs._ Cuadernos del tomo segundo de trages de España del -referido Ticiano, á 6. «^. Retrato de D. Juan Palomino, á a. —Retrato de í&gt;, Ra fael Mengs, i 2. — Trece estampas grabadas al agua fuerte, de varios pensamientos, por D. Ramón Bayeu , á iz. (4V continuará.) Nicolás Huerta, de estado casádó con Hipólita Martínez, salió en el año dé 1804 del íiigár de las Zomas, ob…</t>
  </si>
  <si>
    <t>Paloniiño, Aquilino</t>
  </si>
  <si>
    <t>Aquilino Paloniiño</t>
  </si>
  <si>
    <t>…el barrio de Buenavista: á D. Tomas* Rodríguez, maestro de la Real escuela del barrio de S. Pascual: á D. Julián Rojo, maestro de la Real escuela del barrio del Car men calzado: á D. Aquilino Paloniiño, maestro de la Real escuela del barrio del Buen-Suceso, habiendo precedido sorteo por estar en igual censura con D. Martin Estevez de Ribera y D. Narciso Herranz: á D. Victoriano Pala cios, maestro de la Real escuela del barrio del Hospital general, habiendo…</t>
  </si>
  <si>
    <t>Pan, Josef López del</t>
  </si>
  <si>
    <t>Josef López del Pan</t>
  </si>
  <si>
    <t>…á la misma, distinguida con el numero 27, manz. 58, que tiene de sitio 9180 pies cuadrados superficiales de area plana, tasada en 6640a rs. vn., lo ejecu tará en la audiencia del Sr. D. Josef López del Pan, del Consejo de S. M., su al calde de Casa y Corte, y escribanía de provincia de D. Luis López de Castro, donde se admitirán las que se hagan siendo arregladas en el término de 30 dias, con tados desde el dia 12 del corriente. Doña Rita Casteila, bautizada y…</t>
  </si>
  <si>
    <t>…mino, que empezarán á cor rer desde el dia de la fecha. Todo lo cual se hace saber de orden del Excmo. Sr. protector de dicho establecimiento. Por providencia de 29 del pasado del Sr. D. Josef López del Pan, del Consejo de S. M., su alcalde de casa y corte, y refrendada de D. Luis López de Castro, escribano de provincia y comisiones de la misma, se saca á pública subasta por tér mino de 30 dias, contados desde 30 del pasado, una casa sita en esta corte, que form…</t>
  </si>
  <si>
    <t>…y justicia en los mencionados autos; pues transcurrido que sea di cho término sin haberlo hecho, les parará el perjuicio que haya lugar. Por providencia dei señor alcalde de Corle D. Josef López del Pan, refrendada del escribano de provincia y comisiones D. Luis López de Castro, se mandó sacar á pública subasta por término de go dias una casa sita en esta corte, y su calle de la Puebla y Mira el Rio, núm. 39, rnanz. 551, tasada en 22295 rs*&gt; 9ue tiene de sit…</t>
  </si>
  <si>
    <t>…de las cargas que sobre sí tienen, y gastos judiciales; y se señaía para el segundo remate el dia 26 del corriente á las 12 de su mañana en la audiencia del señor alcalde de corte D. Josef López del Pan, y escribanía de pro vincia de D. Luis López de Castro. La persona que quisiere hacer mejora á dichas ca sas lo egecutar&amp;ante dicho señor juez y escribanía, donde se admitirán siendo arre gladas. Por providencia del Sr. D. Josef López del Pan , del Consejo de…</t>
  </si>
  <si>
    <t>…o¿f&amp; á dinero metálico, con reba ja de las cargas que tengan y gastos judiciales. La persona' que quisiere mejorar el enunciado remate lo verificará ante el señor alcalde de Corte D. Josef López del Pan, y escribanía’de'provincia de D..Luis López de Castro, donde se admitirá* las que se hagan; y se previene que para el tercer remate se ha señalado el dia-i£ de Abril próximo á las 12 de su mañana en la audiencia del mismo señor juez f referida escribanía. Por…</t>
  </si>
  <si>
    <t>…quisiere hacer postura actida ante Vi mencionado señor juez y escribanía, que se admitirán las que se hicieren siendo arregladas. t . . Por providencia del señor alcalde de corte D. Josef López del Pan , se cita y emplaza á todos los parientes y herederos de D¿ Ramón de Longoria Florez, cade te que fue de la guardia de la Real Persona» para que en el preciso y perentorio término de 30 dias, contados desde 29 del pasado, que por último se les concede, concur…</t>
  </si>
  <si>
    <t>…fincas acuda ante el expresado señor; juez por la es-; cribanía del numeró que egerce D. Feliciano del Corral, que se admitirán siendo ar regladas. ; ' . , • , Por providencia del Sr. D. Josef López del Pan, del Consejo de S. M»* su al calde de Casa y Corte,.dictada en 8, del corriente,, y refrendada por el escribano de provincia y comisiones de la misma.D. Luis López de Castro , se cita, ¡llama y-em plaza por tercer término ' ultimó y perentorio‘de 15'dias, con…</t>
  </si>
  <si>
    <t>…nuevo á las que no la tienen acuda, ante dicho señor y expresada escribanía, que se le admitirán las que se hicieren siendo arregladas. • v ■- • , ].*■ A virtud de providencia del Sr. D. Josef López del Pan, del Consejo de S. M., ?U alcalde de Casa y/.Corte, dada en i.° del corriente, y refrendada del escribano de provincia y comisiones de. la misma D. Luis López de Castro, se cita, llama y em plaza, por término de o días contados desde esta publicación en ía ga…</t>
  </si>
  <si>
    <t>…rriente, fe cha de la expresada providencia, en donde se admitirán la postura y mejoras que se hiciesen’ siendo arregladas. . A voluntad de su dueño, y á virtud de providencia del Sr. D. Josef López del Pan, del Consejo de S. M., su alcalde de Casa y Corte, dada en 7 del corriente, y refrendada del escribano de provincia y comisiones de la misma D. Luis López dé Castro, se ha mandado sacar á pública subasta por término de 20* días,contados des de el de su public…</t>
  </si>
  <si>
    <t>…e los indica dos autos; apeícibidos que de no hacerlo se procederá á lo que correspónda, y les parará el perjuicio que haya lugar. Por providencia de 19 del corriente, dada por el Sr. D. Josef López del Pan, del Consejo de S. M., su alcalde.de casa y corte, refrendada del escribano de provincia y comisiones de la misma D. Luis López de Castro, se ha mandado continuar la sub asta de dos casas sitas en esta corte, y sus calles de Cantarranas y de las Huertas, que…</t>
  </si>
  <si>
    <t>…iifráda íá siiya én los.progresos de la Juven tud, y en contribuir con todas sus fuerzas á hacerla digna de los desvelos del Rey y de la gratitud de la patria. Por providencia del Sr. D. Josef López del Pan, del Consejo de S. M., su al calde de Casa y Corte, dada'en este día , * y’refrendada del escribano de provincia y ‘comisiones de la misma D. Luis López de CaStro , sé citaS llama y emplaza^pór- tér mino de 20 días, contados desde esta publicación, á D. Juan…</t>
  </si>
  <si>
    <t>…a el remate de ella se ha señalado el dia 7 de Diciembre próximo, á las 12 de su mañana, en la audiencia del insinua do señor juez. A virtud de providencia de 21 dei corriente del Sr. D. Josef López del Pan, del Consejo de S. M., alcalde de Casa y Corte, refrendada del escribano de provincia y comisiones de la misma D. Luis López de Castro, se ha señalado el dia 2 de Diciem bre próximo en la audiencia de dicho señor, á las 12 de su mañana, para el remate de dos…</t>
  </si>
  <si>
    <t>…él Sr. D. Manuel Josef Rubio, del Consejo de S. M., y teniente corregidor de esta muy heroica villa, y hora de la una de su tardé. Por providencia de 20 del corriente, dada por el Sr. D. Josef López del Pan, del Consejo de S. M., alcalde de la Real Casa y Corte, refrendada del escribano de provincia y comisiones déla misma D. Luis López de Castró, se cita, llama y em plaza por término de'^o diás; cóntádos desde esta publicación, á Di Francisco Ro berto de Baster…</t>
  </si>
  <si>
    <t>…se hubiesen otorgado por este respecto; parándoles esto y cuanto se actué el mismo perjuicio que si fuese con su intervención y audiencia. Por providencia del Sr. alcalde de Corte D. Josef López del Pan, del Consejo de S. M , dada en 16 del corriente, y refrendada del escribano de provincia y co misiones de la misma D. Luis López de Castro, se cita, llama y emplaza por ter cero, ultimo y perentorio término de 15 dias, contados desde la publicación en la gace…</t>
  </si>
  <si>
    <t>Pando, Ignacio Romero</t>
  </si>
  <si>
    <t>Ignacio Romero Pando</t>
  </si>
  <si>
    <t>•Menocal, teniente D. Mantiél Ortfzyy los graduados D. Pedro María, Ana ya, D. Luis Carrera, D. Ignacio Romero Pando y *D. Manuel González , al féreces D. Melchor Armenteros, D. Apolinario Rodea y D. Miguel Rodrí guez. Dragones de S. Luis: teniente coronel graduado D. Anastasio Bustamante, capitán graduado D. Felipe Mendez, teniente D. Manuel Muñoz, al féreces D. Pedro de L…</t>
  </si>
  <si>
    <t>…te niente coronel D. Cristóbal Villaseñor; teniente graduado de capitán D. Jo-, sef García Marín , teniente D. Manuel Ortiz , y graduados D. Pedro Ana ya, D. Luis de la Carrera y D. Ignacio Romero Pando; alféreces D. Apolinario Rodea y D. Miguel Rodríguez. De S. Luis: capitán graduado de teniente co ronel D. Anastasio Bustamante; capitán D. Andrés Huete; teniente D. Josef Gaitan; alféreces D. Juan Lesaca y D. Feliciano Guerra. De S. Carlos: ca pitán D. Domin…</t>
  </si>
  <si>
    <t>Pañego, Genaro</t>
  </si>
  <si>
    <t>Genaro Pañego</t>
  </si>
  <si>
    <t>…. Antonio Sola* no y D. Josef Colmenero: los oficiales muertos del regimiento húsares de Fernando vn son el capitán D. Manuel Santander, el teniente D. Alfonso Huesca y el alférez D. Genaro Pañego. Fue muerto ademas el coronel co mandante de dragones de la Union D. Josef de Navas, que seguía en el cuar tel general. Los prisioneros que resultan lo fueron por haberse quedado atra sados y extraviados en la marcha durante la noche. En atención á los mérito…</t>
  </si>
  <si>
    <t>Panlagua, Clara</t>
  </si>
  <si>
    <t>Clara Panlagua</t>
  </si>
  <si>
    <t>…Rodríguez, hijo de D. Julián Rodríguez , vecino de esta ciudad. Premios de las niñas de las cuatro escuelas que mantiene el Emo. Sr. car denal arzobispo de esta ciudad^ Escuela de Doña Clara Panlagua. En costura: á Dominga Hernández, á María Minaya , á Raimunda Perez y á María Sevillano. En leer y doctrina cristiana á Mariana Sánchez, á Tomasa García , á María Francisca Perez de Vicente, á Leona Perez , á María X; menea y á Alaria Catalan. Escuela de Doña…</t>
  </si>
  <si>
    <t>Panlagua, Miguel</t>
  </si>
  <si>
    <t>Miguel Panlagua</t>
  </si>
  <si>
    <t>…bre de 1814, resolvió celebrar exámenes particulares con asistencia de algunos caballeros socios y personas instruidas, en los cuales todos los alum nos que se designarán, incluso D. Miguel Panlagua, alférez graduado del re gimiento de Murcia, que por haber tenido precisión de marchar de orden su perior á su regimiento no pudo presentarse en los exámenes públicos, mani festaron haber" asistido con puntualidad y.aprovechamiento, y estar impues-</t>
  </si>
  <si>
    <t>Pantaleon</t>
  </si>
  <si>
    <t>…áTomas Torre, discípu lo de D. Josef Picado, maestro del torno al aire en la Real casa de hospicio, y. socio de mérito.en clase de profesor , 40 rs. en.premio de su aplicación: á D. Pantaleon de la Rosa, maestro llavero dé la Real fábrica de armas de estaciudad, que presentó dos llaves de escopeta de mucha invención y gusto, pa tente de socio profesor. escuelas gratuitas. A Manuela Ariazaga, María García, Josefa Veía y Manuela Díaz, alumnas de la…</t>
  </si>
  <si>
    <t>Papan, Elias Izquierdo y</t>
  </si>
  <si>
    <t>Elias Izquierdo y Papan</t>
  </si>
  <si>
    <t>…ado, y parándoles esto y cuanto se actúe y resuelva el mismo perjuicio que si fuese con su intervención y audiencia, según asi resulta de los autos que existen en la escribanía de D. Elias Izquierdo y Papan. El Sr. D. Tadeo Soler, del Consejo de S. M. con honores del Real y suprera® de Castilla, alcalde decano de la Real Casa y Corte, se ha servido convocar á jun ta general de acreedores á la quiebra de Lloret y sobrino, de Zaragoza, para el do mingo 7 de Junio…</t>
  </si>
  <si>
    <t>Parada, Miguel Gutiérrez y</t>
  </si>
  <si>
    <t>Miguel Gutiérrez y Parada</t>
  </si>
  <si>
    <t>…blico el dia 16 del pasado divididos en tres clases, siendo examinados en primer lugar los de la de propiedad latina, retórica y poética, y enseguida los demas. Abrió el egercicio D. Miguel Gutiérrez y Parada con un epigrama latino dando gra cias al concurso, explicando á continuación los preceptos de que se había valido para su composición y lo demas perteneciente á los elementos de poética* esto mismo hicieron los restantes de la clase, explicando también las re…</t>
  </si>
  <si>
    <t>Pardiñas, Ambrosio Alvarez</t>
  </si>
  <si>
    <t>Ambrosio Alvarez Pardiñas</t>
  </si>
  <si>
    <t>…evilla, y juez civil de la plaza de Cádiz, en los autos de testa mentaría de D. Tomas Daisemberger ¿ vecino y del Comercio que fue de aquella ciudad, y en orden á la pretensión de D. Ambrosio Alvarez Pardiñas sobre que se . declare la;pjelaciün dé su crédito á todos los demas , se cita y emplaza por medio dé éste^ periódico i IbS 'ácíreedore^ ausentes, para que én él precisó, único y perentorio término de seis meses comparezcan á su juzgado á usar de su derecho po…</t>
  </si>
  <si>
    <t>Pardo, Josef Lamas</t>
  </si>
  <si>
    <t>Josef Lamas Pardo</t>
  </si>
  <si>
    <t>…imera clase, el M. Iltre. Señor abad de S. Isidro de León D. Fr. Teobaldo Rodríguez Gallego, el lectoral de la metropolitana iglesia del apóstol Santiago D.,Andrés Ribera y el Di. Don Josef Lamas Pardo, rector de la referida universidad de Santiago: este aren gó á SS. MM. y AA. en los términqs que manifiestan los siguientes, discursos, poniendo al mismo tiempo en la Real mano una vitela de gracias,. y otra en la del Sermo. Sr. Infante, que contiene el grado…</t>
  </si>
  <si>
    <t>Pardo, Juan Bautista</t>
  </si>
  <si>
    <t>Juan Bautista Pardo</t>
  </si>
  <si>
    <t>…/ ,,Son acreedores á toda consideración por los auxilios que han prestado al egército el gobernador interino de Cutnaná D. Ignacio Ramírez Estenoz, y particularmente el benemérito brigadier D. Juan Bautista Pardo, capitán ge neral interino de estas provincias, cuyo gefe, desde el momento que llegó á ellas comisionado por mí para el acopio de víveres, ha trabajado incesantemen te, y ha dado disposiciones tan acertadas y enérgicas1, que debemos á ellas la subsistencia d…</t>
  </si>
  <si>
    <t>…eres que tenia, como para salvar los muchos buques que había en-el puerto, y reunir las fuerzas que quedaban para oponer la posible resistencia al pirata Brion. Al mismo tiempo el brigadier D. Juan Bautista Pardo avisaba las alteraciones suscitadas en los Llanos, extendiéndo se hasta los valles de Orituco numerosas cuadrillas de rebeldes que tenían si tiado el pequeño fuerte de Chaguararmas, y amenazaban las avenidas de la capital. Desde aquel momento no dudo el gener…</t>
  </si>
  <si>
    <t>…nico ;á V. S. para satisfacción de los fieles vecinos de esa capital. Dios guarde á.V. S. muchos anos. Cuartel general .de.la Villa .de Cura 16 de Marzo de 1818,;=Pablo Morillo. = Sr. D. Juan Bautista Pardo.” P. JD. Al brigadierXa,torre le-avisopara que siga mi movimiento, y lo mismo á lps dragones leales que vienen &lt;ppr rGüigije y . Magda leño. Madrid 11de Mayo* ..... Anteayer ajas cuatro y media de la mañana salió, de ByitmgP el Serenísi mo Sr. Infante D. Fran…</t>
  </si>
  <si>
    <t>…á V. S. para su inteligencia, y á fin de que lo haga saber á los fieles habitantes de esa capital. „t&gt;ios &amp;c. Cuartel general de Valencia 5 de Abril de 1818.= Pablo Mo-* rillq. — Sr. D. Juan Bautista Pardo.” (Se continuarán.) ARTICULO DE OFICIO. El capitán general del reino de Galicia en oficio de 15 de este mes á lá Junta Suprema de Sanidad del reino confirma la noticia de la total extinción de Jas calenturas estacionales de la Coruña, cuya salud pñblica sigüe…</t>
  </si>
  <si>
    <t>…ara su inteligencia , y qué lo naga áabet ‘á Ifcs" fieles Híibitañtés de ést'áS ¿íoyincias.'* ‘ ; ^ ,,Dios &amp;c. Cuartel general de Valencia 19 de Abril' de 1&amp;18. = PabIo Morillo. í=Sr. D. Juan Bautista Pardo.” P. D. Han pasado por las. armas los rebeldes i cinco ('ficiáTes défbatalib’n de Kumáncia , y. á toáoslos sóldadósde éste ¿gérpo que íes' quedaron’después de Ja accion!de Ottiz. 1 v' 1 ' . ‘ ÍV;‘ ?! '..'¡e. ’f , .'rrrrjr. ?;•p°- Parte circunstanciado' del co…</t>
  </si>
  <si>
    <t>…o que pongo en noticia de V. S. para su satisfacción y la de los leales habitantes de esa capital. ,, Dios &amp;c. Cuartel general de Valencia 19 de Mayo de 1818. == Pablo Morillo. =: Sr. D. Juan Bautista Pardo.” ; 2.° ,, Teniendo noticias que el rebelde Cedeño se hallaba en Calabozo y sus inméd i aciones formando sobre las fuerzas que él mandaba la reunión de todos los hombres que podían hallarse en los pueblos bajo su dominación, im poniendo pena de la vida al que…</t>
  </si>
  <si>
    <t>…e Guayabal. ,,Lo que comunico á V. S. para su satisfacción y la del fiel vecindario de esa capital. " ,,Dios &amp;c. Cuartel general de Valencia 24 de Maye de 1818. = Pablo Morillo. = Sr. D. Juan Bautista Pardo.” - Nota. El cerro de los Patos se halla á dos leguas de Calabozo entre este y el pueblo del Calvario. (Se continuaran.) „ Cortina 14 de Agosto, Este Real consulado, en cumplimiento de lo prevenido por S. M. en el artículo 6.° del método de estudios, á que se…</t>
  </si>
  <si>
    <t>…ue dispoijÉga su publicación en la gaceta de esa capital para satisfacción de sus fieles ha bitantes. „ Dios &amp;c. Cuartel general de Valencia 27 de Mayo de 1818. = Pablo Mo rillo. =Sr. D. Juan Bautista Pardo.” (Se continuará.) . : , • , , - , ' ^ Mahoti 16 de Agosto. : - / T listado que manifiesta los barcos que existen incomunicados: en este lazareto hoy^ diá deAa fectml íf } - r.rr . p* ' M r— &gt;■ 1. ° Jabeque S. Josef, patrón Bartolomé Olí ver, español, de Tetu…</t>
  </si>
  <si>
    <t>…spé~&lt; ro se sirva V S. mandarla publicar en la gaceta de esa qapital. 4 r .1 ¡i ,, Dios guarde á V S. muchos años. Cuartel general de Guataparo 15 de Mayo de i8i8.=Pablo Morillo. =Sr. D. Juan Bautista Pardo.** i : Relación de varios individuos de la clase de pardos que desde la llegada del egército expedicionario han sido recompensados en diversas épocas por su fidelidad al Rey nuestro Señor y distinguidos méritos en la pa cificación de estas provincias, con las…</t>
  </si>
  <si>
    <t>Pardo, Lomáis</t>
  </si>
  <si>
    <t>Lomáis Pardo</t>
  </si>
  <si>
    <t>…y por clases dieron pruebas satisfactorias de su aplicación y adelantamientos, respondiendo á cuantas preguntas les hicieron tanto süs maestros D. Martinianó Gutiérrez dé Rozas y D. Lomáis Pardo como otros muchos señores del citado concurso. Los discípulos de gramática latina, cuya enseñanza está al cargo del rectoi* D. Santiago de Izaga , presbítero , y del repetidor D. Manuel Balugera, llena ron igualmente de una completa satisfacción á todos los c…</t>
  </si>
  <si>
    <t>Pardo, Luis</t>
  </si>
  <si>
    <t>Luis Pardo</t>
  </si>
  <si>
    <t>…os sugetos que se distÍnguieronvpartici2fermente en esta acción, y fueron los siguientes: . . El capitán de navio de la Real armada D. Tomas Blanco Cabrera: los tenientes de navio D. Luis Pardo y D. Simón Londoño: el alférez de navio D. Pedro Fernando Tavira: los tenientes coroneles D. Juan Josef Campillo y D. Josef Alejandro: los capitanes graduados de tenientes coroneles D. Ra món de Amagada y D. Bartolomé Henriquez: los subtenientes D. Nicolás O ^res y Palafox y D.…</t>
  </si>
  <si>
    <t>Pardo, Manuel</t>
  </si>
  <si>
    <t>Manuel Pardo</t>
  </si>
  <si>
    <t>…jas de ambos sexos, decorosamente vestidas y con guirnaldas en la cabeza, danzando diferentes bailes á estilo del pais por la carrera que estaba colgada, hasta llegar á la casa de D. Manuel Pardo, vecino de esta dicha villa,: destinada para el descanso de SS. MM) y A.? Antes de llegar á ella estaba pre parado un arco triunfal con dos pequeños á los lados, adornados con sencillez y buen gustó, qué ofrecieron á SS. MM. y A. los vecinos labradores de est…</t>
  </si>
  <si>
    <t>Pardo, Sancho</t>
  </si>
  <si>
    <t>Sancho Pardo</t>
  </si>
  <si>
    <t>…smo tiempo el coronel D Pedro González Villa; el ayudante del segundo batallón de Navarra, graduado de capitán, D. Josef Narvaez ; el te niente D. Luis La Madrid; lo$ subtenientes D. Sancho Pardo y D. Domingo Agustín; y del de Castilla contusos el capitán de granaderos D. Juan de Lo bo, el teniente D. Ventura Salgado, y los subtenientes D. Pedro Fernandez . y D. Angel Loño; del.de húsares también contuso de bala de cañón el porta D. Francisco Ximenez.</t>
  </si>
  <si>
    <t>Paredes, Juan Angel García</t>
  </si>
  <si>
    <t>Juan Angel García Paredes</t>
  </si>
  <si>
    <t>…te por fallecimiento de D. Juan Diego Teruel, á D. Vicente Remon y S. Martin; y últimamente para una.media ración de la catedral de la Puebla de los Angeles, Vacante por muerte de D. Juan Angel García Paredes, á Doii Tiburcio María Cárcamo. Estando acordado por la dirección general del Crédito público, con arre glo al Real decreto de 3 de Abril último, que se admitan á consolidar en lá oficina general de Renovación en esta corte, y en las comisiones principales de…</t>
  </si>
  <si>
    <t>Parga, Josef de Novoa y</t>
  </si>
  <si>
    <t>Josef de Novoa y Parga</t>
  </si>
  <si>
    <t>…a catedral de Arequipa, vacante por muerte de D. Juan de Unzas , á D. Juan de Dios Bülnes: la canongía que este deja á D. Josef Valdés y Velasco; y la ración que resulta vacante á D. Josef de Novoa y Parga: últimamente la ración que ha quedado vacante en la santa iglesia catedral de Durango- por fa llecimiento de D. Francisco de Paula Balda á D. Pedro Míllan Rodríguez. También se ha dignado S. M. conceder á D. Bartolomé Mosquera la pla za de oidor de la Real au…</t>
  </si>
  <si>
    <t>París, Miguel Tomas</t>
  </si>
  <si>
    <t>Miguel Tomas París</t>
  </si>
  <si>
    <t>…irtud de providencia del Sr. D. Ramón Satue, del Consejo de S. M., su alcalde de Real Casa y Corte, á instancia de D. Pedro Julián y Doña Sebastiana Pa-: ris, hijos y herederos de D. Miguel Tomas París, uno de los acreedores graduados etiv el quinto lugar en la testamentaría de D. Manuel Calixto del Campo, se citar llama y emplaza á los demas acreedores graduados en el mismo lugar&gt; que lo son Dona Jo sefa María Rogibal, D. Francisco de Ayerbe, D. Domingo Go…</t>
  </si>
  <si>
    <t>Parr, Josef López del</t>
  </si>
  <si>
    <t>Josef López del Parr</t>
  </si>
  <si>
    <t>….11 dadas, parándoles esto con cuanto se actúe y resuelva el mismo perjuicio qüest fuere con su intervención y audiencia, á cuyo fin se inserta en esta gaceta. Por providencia del Sr. D. Josef López del Parr, alcalde deCasa y Corte, dada en 7 del.corrientey refrendada del escribano de provincia y comisiones de la misma D. Luis López de Castro se mandan sacar á pública subasta por término de 30 días, contados desde esta publioaéioh rdos casas unidaá qué tien*n com…</t>
  </si>
  <si>
    <t>Parra, Pedro Vicente</t>
  </si>
  <si>
    <t>Pedro Vicente Parra</t>
  </si>
  <si>
    <t>a&amp;7' El Rey se ha servido conceder á D. Pedro Vicente Parra su Real per miso para usar la condecoración de la flor de Lis, con que ha sido agraciado por S. M. Cristianísima. E1;Rey nuestro Señor, á consulta del Consejo, se ha servido conceder al lugar de Quincoces de Yuso, en la merindad de Losa, de la provincia de Bú…</t>
  </si>
  <si>
    <t>Parres, Joaquín</t>
  </si>
  <si>
    <t>Joaquín Parres</t>
  </si>
  <si>
    <t>…e accidental sargento mayor T&gt;. Josef de Castro. [ . v „Excmo Sr. : Original acompaño á V. E. para su superior conocimiento el parte que me ha dado el capitán de fieles del Potosí D. Joaquín Parres de la persecución que hizo á los rebeldes que se aproximaron por el poniente de esta ciudad con objeto de robar el ganado; que fue recobrado en la ma* ñaña del 9 del corriente. „ Recomiendo á V. E. al distinguido D. Cipriano Casamadrid y cabo de estos realist…</t>
  </si>
  <si>
    <t>Parry</t>
  </si>
  <si>
    <t>…ova; el ca pitán Ross, qué ha pasado muchos años en las costas dé Dinamarca y en medio de los hielos del mar Báltico;.el teniente Franklin , compañero deí cé* íébre Flindérs, y el teniente Parry, autor de una Astronóinía ndutica. LásL instrucciones dadas á estos hábiles é intrépidos marinos les señalan corno punto dé teúnioñ él iesírécbó de Behring, - al5 éíiál:debe ir á pár&amp;r ‘’tódó paso qué se encuéntre en los mares del poloi Db$ de dichos'buqués ;…</t>
  </si>
  <si>
    <t>Pasadilla, Juan Alvarez</t>
  </si>
  <si>
    <t>Juan Alvarez Pasadilla</t>
  </si>
  <si>
    <t>…pendientes del resguardo: no menos necesario á los abogados que defienden los pleitos, y á los comerciantes para conducirse rectamente con sus expediciones, mercantiles : su autor D. Juan Alvarez Pasadilla, fiscal que fue del crimen de la Real audiencia de Va lencia, y de aquella subdelegaron de Rentas: su precio es 20 rs. en papel, 21 á la rústica, 23 en pergamino y 26 en pasta. Se vende en las librerías de Ranz, calle de la Cruz, y de Castillo, frente á las g…</t>
  </si>
  <si>
    <t>Pascua, Agustín</t>
  </si>
  <si>
    <t>Agustín Pascua</t>
  </si>
  <si>
    <t>…r de lá Real aduana de Limay para poder lis»* de la insignia de la* flor de Lis con que.se ha servido condecorarle S. M. Cristianísima. Asimismo ha concedido S. M. igual permiso á D. Agustín Pascua, admi nistrador de la aduana del Callao de Lima, para usar de la misma condecora ción con que ha sido agraciado por S. M. Cristianísima. Per providencia del Sr. O. Manuel Josef Rubio , del Consejo de S. M., tenien te de corregidor de esta muy heroica villa, r…</t>
  </si>
  <si>
    <t>Pascual</t>
  </si>
  <si>
    <t>…. en cumplimiento de mi obliga ción para su conocimiento. ,, Dios guarde á V. S. muchos años. Campo del Plan Enero 13 de 1818.2 Josef Cristóbal Villaseñor. = Sr. mariscal de campo D. Pascual dé Liñan.” LLAMOS de a pan. 2* ¿Del comandante general coronel D, Manuel de la Concha. „ ,, Excmo. Sr. : Acompaño á V. E. original el parte que el teniente coro nel de realistas D. Josef María Luvian me ha remitido con fecha de 31 del último Enero, desde la h…</t>
  </si>
  <si>
    <t>Pascual, Agustín</t>
  </si>
  <si>
    <t>Agustín Pascual</t>
  </si>
  <si>
    <t>…o en un examen secreto por los cen sores, á presencia de los opositores. Todos los aspirantes á estas plazas com parecerán en esta corte ante el secretario de la junta escolástica D. Agustín Pascual por sí ó por medio de apoderado á firmar la oposición que hayan de hacer, para lo cual se señalan 30 dias de término, que empezarán á cor rer desde el dia de la fecha. Todo lo cual se hace saber de orden del Excmo. Sr. protector de dicho establecimiento. Por…</t>
  </si>
  <si>
    <t>Pascual, Cayetano</t>
  </si>
  <si>
    <t>Cayetano Pascual</t>
  </si>
  <si>
    <t>…cia de dos consiliarios comisionados á este efecto y de los expresados pro fesores, ha adjudicado.'la junta, con vista de las censuras de cada uno, los dos premios de á 55 pesos á D. Cayetano Pascual y D. Ramón Torres, y. los dos segundos de 35 á D. Fabian Ramos y D. Miguel Rodríguez González; pero enterada al mismo tiempo que con estos obtuvieron igual mérito Don Antonio Josef Tello , D.- Pedro Martin y D. Tomas Demetrio Ascanio, re solvió se distribuyesen entre los tres…</t>
  </si>
  <si>
    <t>Pastor, Jbsef Vilella y</t>
  </si>
  <si>
    <t>Jbsef Vilella y Pastor</t>
  </si>
  <si>
    <t>…uete, concluido el cual fue el Príncipe al teatro, acompañado del referido coman dante, del corregidor y de otros sugetos distinguidos de la ciudad. * ESPAÑA. Oropesa go de Julio. Don Jbsef Vilella y Pastor, alcalde mayor de esta villa, y'juez proteo* tor de sus escuelas gratuitas, deseando dar al público el resultado del zelo con que atiende á la educación popular, tan recomendada por S. ,é án~ Aispensable á laf felicidad del Estado , dispuso que en la mañana d…</t>
  </si>
  <si>
    <t>Pastor, Victoriano</t>
  </si>
  <si>
    <t>Victoriano Pastor</t>
  </si>
  <si>
    <t>…á D. Manuel Jane el accessit.Dibitjo: á D. Juan Poey, y i D. Carlos Espinóla el áctessil. Escritura .* á í). Josef Manuel César ,y á Don Guillermo Larraganel accessit. Lectura : á D. Victoriano Pastor ., y á Don Pascuai Meñdive el accessit.-.Doctrina.cristiana:.a ÍX Josef'Antonio CabaJlero ,y á D. Simón Inchausti el accessit. Y concluida la distribución el mis mo corregidor en una corta arenga hizo pública la aceptación que al ilustre ayuntamiento le merec…</t>
  </si>
  <si>
    <t>Patino, Josef</t>
  </si>
  <si>
    <t>Josef Patino</t>
  </si>
  <si>
    <t>…nta Real,zz:jEn medio pliego de marca, mayor, zzzTercero: Hernán Cortes, Garcilaso de la Vega, D. Alonso de Ercilla, D. Pedro Calderón de la Barca, Miguel de Cervantes Saavedra, y D. Josef Patino: 4.a D. Antonio Agustín, D. Sancho Davila, D Juan de Austria, D. Alvaro de Bazan , Antonio de Nebrija, y Pedro Me»nendez de Aviles: 5.0 D. Juan de Austria, Fr. Luis de Granada, Martin de Azpilcueta, Pedro Chacón, D. Bernardino de Rebolledo, y D. Luis de Góngo…</t>
  </si>
  <si>
    <t>Patino, Vicente</t>
  </si>
  <si>
    <t>Vicente Patino</t>
  </si>
  <si>
    <t>…stas de Te—? loioapan, graduado de teniente coronel, D. Tomas Diáz, y al alférez D. Ma-riano Estrada; al capitán de realistas de este real D. Josef Embriz, y te niente de la misma D. Vicente Patino, quienes con sus compañías asaltaron* conmigo los parapetos; al R. P. Fr. Gaspar Tembleque, capellán de esta ¡ di¿&gt; visión, quien al momento que vio herido al comandante se puso á su lado,’ hallándose en medio de los fuegos, con el objeto de darle los auxilio…</t>
  </si>
  <si>
    <t>Patón, Josef María</t>
  </si>
  <si>
    <t>Josef María Patón</t>
  </si>
  <si>
    <t>…ción al reino de Valencia en busca de trabajo,- desde‘cuya época nó ha Vuelto á tenerse no ticia. Si alguna persona la tuviese de su existencia y paradero se servirá comunicarla á D. Josef María Patón, notario oficial mayor en la vicaría de Madrid, que hace este anuncio en virtud de mandato judicial. Melchioris Cani, episcopi Canariensis, ex ordine praedicatorum , opera, in dúo volumina distributa, in hac prima; editiqne cláríus divisa, et,praefatione iilu…</t>
  </si>
  <si>
    <t>Patri</t>
  </si>
  <si>
    <t>…ro Salvador de Pazos, subtenientes D. Manuel San* chezTreviño y D. Justo Zaldivar. Del primero Americano: teniente coronel graduado D. Cristóbal Tenorio, capitán D. Josef Polledo, teniente D. Patri cio Ange y D. Miguel Tejeiro , subtenientes D.'Juan Perez y D. Juan Josef Reviila. De la Corona : teniente D. Ignacio Valiente. De Frontera: teniente coronel graduado D. Josef María Novoa , teniente D. Josef María Gutiérrez, " . Felipe Guillen, y agregado D.…</t>
  </si>
  <si>
    <t>Patriarca, Cardenal</t>
  </si>
  <si>
    <t>Cardenal Patriarca</t>
  </si>
  <si>
    <t>…para otro egercicio que ocurra en servicio de ella \ y los pre tendientes se presentarán por sí ó por medio de memorial con su fe de bau tismo legalizada en la secretaría del Emo. Sr. Cardenal Patriarca de las In dias en el término de 40 dias, que fenecerán en 10 de Febrero próximo. Tratado entre S. M. el Key de España y de las Indias, y S. M» el Rey del reinq unido de la Gran Bretaña é Irlanda para la abolición del tráficp de negrps, con cluido y firmado en…</t>
  </si>
  <si>
    <t>Pau, Francisco de</t>
  </si>
  <si>
    <t>Francisco de Pau</t>
  </si>
  <si>
    <t>…a Velazquez, Doña Teresa González, de Valladolidi Antonia Carreras, de Valdemoro, y D. Francisco Vigil, del reino de Francia, y sus sucesores, como legatarios de los Éxcmos. Sres. D. Francisco de Pau la y la Cerda, y Doña María Vicenta de Osorio y Moscoso, su muger, condes que fueron de Aguiíar. En su consecuencia se les cita, llama y emplaza á lin de que den tro del indicado término concurran ante dicho señor alcalde, por la escribanía de provincia de D.…</t>
  </si>
  <si>
    <t>Paula, Francisco de</t>
  </si>
  <si>
    <t>Francisco de Paula</t>
  </si>
  <si>
    <t>31? ESPAÑA.' ' 1 u México 2/ deNóviemtire.1 Continuación de los partes de Nueva-España. PACHUCA. f T&gt;el teniente coronel y: comandante Francisco de Paula yillaldea* 1 ~,¿Ex¿mo¿Sr.Hoy han concluido las funciones que este vecindario ha. hecho en celébridad del feliz parto de la Reina nuestra Señora, y en demos tración de su fidelidad y amor á los mas benéficos Monarcas. Publicado el día 2 del presenteel bando de…</t>
  </si>
  <si>
    <t>…ido permiso de' nuestro Soberano el embajador de España duque de Ferñan- Nuñéz para convidar á todos los Príncipes" cfé"la casa Real de Francia á comer con S. A. Serma. el Infante D. Francisco de Paula en la casa de la embajada, se verificó-el convite anteayer, víspera de la salida de S. A., y asistieron á la comida Monsieur y los duques de Angulema, Berry y Oríeans con sus respectivas servidunibres, Jel duque de Richelieu , el ministró de Pollera conde dre…</t>
  </si>
  <si>
    <t>…Mayo. Apenas recibió esta ciudad por oficio del Excmo. Sr. capkan general de Castilla la Vieja la noticia de que. había de transitar por ella para la corte e'1 Sermo. Sr. luíante D. Francisco de Paula, cuando reunido su ayuntamiento empezó á dar las disposiciones oportunas á su recibimiento y hospedage, con</t>
  </si>
  <si>
    <t>…on concurrir SS. MM. con los Sermós. Sres. Infantes D. Carlos , gefe principal de lásf academias y cuelas artísticas del reino, Doña María Francisca dé Asís-, su augusta esposa^ y D. Francisco de Paula, consiliario demérito de lá academia. , El Excmo. Sr. D. Jósef Pizarra, primer Secretario de Estado^ protector, con el vice-proteelor y un lucido concurso de grandes y caballeros, individuos todos de la academia, recibieron á las Reales Personas al pie de la?…</t>
  </si>
  <si>
    <t>…an gala, presentó á S. A. R. el Duque sus plenos poderes, y pidió á SS. A A. RR. en nombre de su Soberano la mano de su angusta Hija la Princesa Doña Luisa Carlota para el Infante D. Francisco de Paula, pro¿nniiciando ún discurso análogo á ia circunstancia, á que fue contestado por</t>
  </si>
  <si>
    <t>…icilias para Ja felicidad , de ambas Familias y Estados, y movido del mismo deseo aquel Sobdrancr, hemos convenido eitunir en matrinionio á ini muy caro y amado hermano el Infante D. Francisco de Paula con la Princesa Doha Ltiísó'Catlótá, Hija del Duque de Calabria, Príncipe heredero de aquel reino r, y de rht muy cara y? ámada hermana la Infanta Doña María Isabel; y habiéiidó dado nuestros pié-* nos poderes para ajustar y , conclüít lás capitulaciones y Co…</t>
  </si>
  <si>
    <t>Paule, Juan</t>
  </si>
  <si>
    <t>Juan Paule</t>
  </si>
  <si>
    <t>…o. Dragones de S. Carlos: el capitán D. Manuel Linares herido de gravedad. Segunda sección: bata llón ligero voluntarios de Navarra: el teniente D. Josef María Fierto y el ca dete D. Juan Paule, muertos: el capitán D. Fernando Puertas y el subte niente D. Miguel Culebras, heridos de gravedad; y el ayudante segundo Don Josef Ures herido. Regimiento Provincial de Toluca: el capitán graduado D. Mariano Molina muerto; y en la división auxiliar de Nueva-…</t>
  </si>
  <si>
    <t>Pavón, Juan Pablo</t>
  </si>
  <si>
    <t>Juan Pablo Pavón</t>
  </si>
  <si>
    <t>…repartimiento de varios egemplares de las obras de Hugo Blair, Muratori, íriarte, Huerta, Florez y Samaniego,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 Martin Saenz, de Lebrija: Don Fraiieised1 González…</t>
  </si>
  <si>
    <t>Payan, Elias Izquierdo y</t>
  </si>
  <si>
    <t>Elias Izquierdo y Payan</t>
  </si>
  <si>
    <t>…cir del que les asista; con apercibi miento de que pasado sin haberlo hecho les parará el perjuicio que haya lugar. ' Por el Real tribunal del consulado de Cádiz » y escribanía de D. Elias Izquierdo y Payan, se manda citar y emplazar á todas y cualesquiera personas que se estimen con derecho á ios bienes de la testamentaría de D. Mateo Rodríguez Sánchez, para que en el término de tres meses se presenten á deducirlo por sí ó sus represen tantes con los documentos…</t>
  </si>
  <si>
    <t>…admitirán proposiciones que no cubran la indicada suma,, conforme á la Real facultad. Por providencia del tribunal del consulado de comercio de Cádiz, ante el escri bano de Cámara D. Elias Izquierdo y Payan, su fecha 10 del corriente, en los autos concurso de acreedores á la casa que tituló en este comercio Tevar hermanos, se ha mandado citar y emplazar á cualesquiera que se consideren con derecho á los bie nes de dicha masa para que acudan á. formalizarlo con l…</t>
  </si>
  <si>
    <t>Payan, Elias Izquierdp y</t>
  </si>
  <si>
    <t>Elias Izquierdp y Payan</t>
  </si>
  <si>
    <t>…ite ó á Cantón, á fin que de allí la den la correspondiente dirección. £1 Real tribunal del consulado de comercio de Cádiz, por procidencia dada an te su escribano mayor teniente .D. Elias Izquierdp y Payan, lia mandado citar y em plazar á la sociedad de Thornton y Power, de, Hamburgo, y .á D. Juan Reyes, co mo acreedores á la testamentaría concursada de D. Guillermo Barron, para que ocurran por sí, sus representantes, apoderados, herederos 6 personas autorizada…</t>
  </si>
  <si>
    <t>Paz</t>
  </si>
  <si>
    <t>…el Emperador haya asistido al congreso de los Soberanos en las orillas del Rhin. Ya no se habla del desafio que debió haber ei año pasado entre ei Prínci pe Adam Czartoriski y ei general Paz. Este fue arrestado á Silesia ; y ahora se dice que se ha compuesto amigablemente el asunto que motivó la desave nencia d,e aquellos,dos personages , y que por consiguiente el Príncipe no se verá precisado á reñir en duelo por su mugér, á la que el general Pa…</t>
  </si>
  <si>
    <t>…tarán en ella será, según se asegura, la for mación de un código civil, pues aun nos gobernamos en el día por el código ir anees. &lt; El desaño del príncipe Adam Czartoriski con el .general Paz se verificó con pistola el dia 11 del corriente. El príncipe quedó ligeramente herido, y ha merecido de S. M. el Emperador que le haya hecho una visita. DINAMARCA. Copenhague 2$ de Marzo. El barón Nicolai., ministro plenipotenciario de Rusia cerca de nuestra…</t>
  </si>
  <si>
    <t>Paz, Francisco Cándido de</t>
  </si>
  <si>
    <t>Francisco Cándido de Paz</t>
  </si>
  <si>
    <t>…ael Urbino, dibujada y grabada por D. Esteban Boix, 20. = El charlatán Sacamuelas , del original de Teodoro Roclans, flamenco, grabada por Carmona, %o. (Se continuaran.) r El Sr.: D. Francisco Cándido de Paz, del Consejo de S. M., y alcalde, de su Real Casa y Corte, se lía servido señalar la hora de las cuatro de la tarde del día 13 de, Octubre .próximo en su posada para celebrar junta general de acreedores á la casa comercio titulada Romero, hermanos y sobrino d…</t>
  </si>
  <si>
    <t>…ncesa; prevenidos qué de ño hacerlo les parará el perjuicio que haya lugar, conforme ajas pretensiones del padre comendador. En virtud de providencia dada en 2 r del pasado por el Sr. D. Francisco Cándido de Paz, del Consejo de S. M., y alcalde de su Real casa y corte, y refrendada del escribano de provincia y comisiones de la misma D. Santiago Manuel de Alboniga, se ha mandado suspender la junta de acreedores á la cesión de bienes de la casa co mercio en esta corte…</t>
  </si>
  <si>
    <t>Paz, Josef de</t>
  </si>
  <si>
    <t>Josef de Paz</t>
  </si>
  <si>
    <t>…e, por la escribanía del numero de D. Casimiro Anto nio Gómez, á decir de su derecho y justicia en el pleito pendiente en este juzgado sobre imposición de un censo que mandó dicho D. Josef de Paz á favor de unas me morias pías de 30© rs. de principal con réditos de dos y medio por ciento sobre ca sa en esta corte, calle de los Remedios, num. 17, manz. 158 , que si vinieren se les oirá y guardará justicia en lo que la tuvieren; y les quedan señalados l…</t>
  </si>
  <si>
    <t>Paz, Lorenza Ortiz de</t>
  </si>
  <si>
    <t>Lorenza Ortiz de Paz</t>
  </si>
  <si>
    <t>…la ciudad, y de 4b"^ué contiene la escuela dé Doña Baltasara deDiosdado, situada ew‘elar ra bal, élifció (a sociedad en junta presidida del mismo socio director*á .las seño» rás* Doña Lorenza Ortiz de Paz * Doña Ana Menocal i Doña. Gavina Moyano y Doña Manuela Ortiz de Paz , quienes reconocieron las]abores.;yhahiendo separado 16, las graduaron pór su orden, dando el primer lugar á las de Petra Ortiz, discípula de la escuela del arrabal, y á Josefa Tovar, que ■…</t>
  </si>
  <si>
    <t>Paz, Manuela Ortiz de</t>
  </si>
  <si>
    <t>Manuela Ortiz de Paz</t>
  </si>
  <si>
    <t>…ado, situada ew‘elar ra bal, élifció (a sociedad en junta presidida del mismo socio director*á .las seño» rás* Doña Lorenza Ortiz de Paz * Doña Ana Menocal i Doña. Gavina Moyano y Doña Manuela Ortiz de Paz , quienes reconocieron las]abores.;yhahiendo separado 16, las graduaron pór su orden, dando el primer lugar á las de Petra Ortiz, discípula de la escuela del arrabal, y á Josefa Tovar, que ■ *-h ' »u r . * rrT lo é#de sía dé la; GiiSdád. •• La sociedad, conci…</t>
  </si>
  <si>
    <t>Pazos, Vicente</t>
  </si>
  <si>
    <t>Vicente Pazos</t>
  </si>
  <si>
    <t>…ton jo ¿afc Marzo. Con fecha de 6 del corriente dirigió un memorial al congreso de esta re pública un agente de los rebeldes de Venezuela, México y Nuevo-Reino de Granada, llamado D. Vicente Pazos, quejándose de que el Presidente de los Estados-Unidos había tomado la isla Amalia, y hecho detener á solicitud de los agentes españoles varios cargamentos de buques que los corsarios de la llamada república Fioridana habían introducido en dicha isla. Este me…</t>
  </si>
  <si>
    <t>Pe</t>
  </si>
  <si>
    <t>…sión de su cargo en tres secciones, la primera á sus inmediatas ordenes, en que se hallaba el coronel del regimiento de Za ragoza brigadier D. Domingo Loaces; la segunda á las del brigadier D. Pe dro Celestino Negrete , y la tercera á las del coronel D. Josef Ruiz, que lo es del batallón de Navarra, las situó en puntos convenientes, estableciendo puestos de infantería y caballería para impedir las salidas de los sitiados, no permitirles que tomasen ag…</t>
  </si>
  <si>
    <t>…rnando vn de línea , y Ja quinta, compuesta de tropas auxiliares de Guádalajara, a las del coronel aé dragones de la Nue va* Galicia D. Josef Antonio Andrade, por erifeí-medad del brigadier D. Pe dro Celestino Negrete, la dejó de reserva para observar los movimientos del traidor Mina , y se situó con las cuatro primeras sobre la posición enemigo, distribuyendo las tropas en los puntos mas ventajosos, y estableciendo bate rías para destruir las defensa…</t>
  </si>
  <si>
    <t>…D. Miguel Garcés de las leyes del equilibrio, y ventajas que adquiere la potencia con las máquinas. Dia4.° Don Josef Yarza acerca del origen y fundamento del cálculo diferencial; D. Pe dro García sobre la utilidad del cálculo numérico. , Fue suma y general la satisfacción de todo el concurso viendo la expedi ción , propiedad de lenguage y precisión, como también la inteligencia y acierto en resolver los problemas y preguntas que les hiciero…</t>
  </si>
  <si>
    <t>…tilló, comandante del tércer escuadrón de este rumbó, que hizo de mi mayor de órdenes, las distribuyó eficazmente, ha ciendo por su parte cuanto estuvo én sil alcance. El teniente coronel D. Pe dro Dávalos, que mandó la infantería, se portó como en todas Ocasiones con el valor y empeño que yo deseaba. El capitán í). Josef María Armijo, el teniente coróñél graduado de realistas de este punto D. Tomas Díaz y su alférez D. Mariano Estrada no me dejaron…</t>
  </si>
  <si>
    <t>…rva de 2o: hambres-, por stí valor bieir i acreditad©, puntualidad y eficacia en todo ; al alférez- D. Sebastian Montealvo por iguales circunstanciasal subteniente de Sto. Domingo.D. Pe dro Cortés por las mismas; ai facultativo D. Manuel Guillen y R„ P., cape llán Fr. Francisco Buey o,, que cumplieron respectivamente con sus deberes; siendo dignos) dél aprecio de&lt; V* los., sargentos segundo- de: la, Corona &lt;Anrn ionio Talanconí primer© de la…</t>
  </si>
  <si>
    <t>…e del de infantería inmemorial de] Rey; mayor ge neral el coronel marques de Campo-Hermoso , primer comandante de Jas Compañías de infantería fijas de la costa; ayudante dél,mayor general D. Pe dro Morera, subteniente de la primera ae Almería; ministro principal de Real hacienda’ el comisario de guerra D. Nicolás Pacheco. Granada 2 5 de Juíió de 1818. == Jósef Qrtáwlór. r ^ ( ’ á ; . £ - Por oficios del: cónsul de S. M; én; el íAIgarbé de fechas 27y…</t>
  </si>
  <si>
    <t>…4 , D. Vicente.Sarria 4, D. Marcial Bei*7 mudez 4, D. Joaquín Reina y Capetilío 8, D. Francisco Espar 6, D. Fran cisco Ríos i , Sr. marques dy Mijares 2 , D. Lorenzo Solórzano 10, D. Pe dro Josef Solórzano 16, DvJuan; Jósef Echezuria y Echeverría 6 &gt; D. Pablo Gascue ■*, D. Manuel Manrique y Sierra 6' ,T). Feliciano Palacios 6yD. Juan • Josef Bahamondé 6 , D. Manuel García de Noda 2 , D. Francisco Cartagena 6, jb. Jaime Cedo 4, D. Manuel Fran…</t>
  </si>
  <si>
    <t>Pe, Hermenegildo</t>
  </si>
  <si>
    <t>Hermenegildo Pe</t>
  </si>
  <si>
    <t>…pital, compuesta de tres oficiales y dos sargentos. ESPAÑA. México 5 de Mayo. ' Continuación de los partes de Nueva-España. Parte del capitán D. Josef Gaspar de Ochoa al teniente coronel Don Hermenegildo Pe vuelta } comandante militar de Lagos. „Noticioso de que una gavilla de rebeldes perteneciente á la de Encarna ción Ortiz se hallaba situada en el cerro del Pájaro en la parte que mira á S. Felipe, dispuse salir con la sección de mi cargo á sorprenderla; mas c…</t>
  </si>
  <si>
    <t>Pe, Juan</t>
  </si>
  <si>
    <t>Juan Pe</t>
  </si>
  <si>
    <t>…para el contrapunto y composición de sus términos privativos , reglas y preceptos según la mejor práctica y verdadera teórica: escrito en portugués, y traducido al castellano por D. Juan Pe dro Almeida y Mota. Un tomo en 4.0 Véndele en Madrid en la librería de Collado calle de la Montera, y de González en la de la Luna, á 15 rs. en rustica v 20 en. pasta. EN LA IMPRENTA REAL.</t>
  </si>
  <si>
    <t>Pe, Justo</t>
  </si>
  <si>
    <t>Justo Pe</t>
  </si>
  <si>
    <t>…Subi za; y el segundo áD. Antonio Iribertegui, siendo meritorios D. Carlos Zua^ ti, D. Benito Ojer y D. Domingo Ramírez. En la clase superior de latinidad obtuvo el premio primero D. Justo Pe rez; y el segundo D. Fermín Lasa, siendo meritorios D. Domingo Muguerza, D. Josef Id ion da, D. Francisco Goñi, D. Xavier Sanz López y Don Benito Munduate. Ultimamente en la clase de humanidades ó retorica logró el primer pre mio D. Marcos Velaz; y el segundo…</t>
  </si>
  <si>
    <t>Pedraza, Fermín</t>
  </si>
  <si>
    <t>Fermín Pedraza</t>
  </si>
  <si>
    <t>…o la ílobléza petsonal, y el grado de teniente co ronel en el batallón de Barinas dónde sirve. i •Milicias de pardos de Valencia. Capitanes: D. Ramón Hidalgo, D. Ca simiro Colon , D. Fermín Pedraza y D. Pedro María. Tenientes: D. Hilario Nogueras , D. Antonio Rodríguez y D. Josef Amador han sido confirmados en sus empleos, y obtenido la nobleza personal. '■ Capitanes de las guerrillas de Barinas. D. Francisco Xavier Palmero fue confirmado en su empleo, con la nobleza pe…</t>
  </si>
  <si>
    <t>Pedro</t>
  </si>
  <si>
    <t>Núm. 79. '[ f cuartos.] 64 DEL JUEVES 2 DE JULIO DE 1818. BRASIL. Rio-Janeiro 28 de Febrero. - • ^ ? Hallándose cruzando sobre esta costa la fragata de guerra portugués» Príncipe D. Pedro, y habiendo avistado al baque ingles, perteneciente á ia compañía de.la India, que está sirviendo de paquete desde Sta. Elena al ca bo de~Buena-Esperanza, y que con un oficial y seis soldados de aquella guarnición venia por Víveres á esta corte, pasó á recono…</t>
  </si>
  <si>
    <t>…orecido!, del bosque ‘pudo libertarse: tr-ájo 3 bestias caballares; mas y fina res,.que hice distribuir á la tropas , = ; ,, Á las dos dé lá mañana1 del 18 despaché aí subteniente D. Pedro* Díaz ,\ con 70 infantes á perseguir ios perversos abrigados en las montañas del Ma* guaquité:, Caín adío y sus anejás, dóiide cogió un prisionero, que por; negarse , ‘ á toda ‘noticia qué sé le pedia' mandé'fusilar, éñ.eíacto: también cayeron ‘ ' cuatro' •ir…</t>
  </si>
  <si>
    <t>…n Cataluña, dé los resellos y leyendas del tipo de-la famosa de terno, mandada hacer por D. Jaime el Conquistador, y del origen y progresos de la de plata barcelonesa, emitida por D. Pedro 11 de Cataluña y tu de Aragón, que duró hasta Felipe v, y las de oro, como dineros, sueldos, libras (las hubo imaginarias y efectivas), onzas, áureos, maneusos, morabatines, pacíficos, principados, florines, ducados, doblo-, nes dé dos caras, con un cálculo d…</t>
  </si>
  <si>
    <t>Pedrosa</t>
  </si>
  <si>
    <t>…rrojaron temerariamente á un parapeto casijinexpugnable á Ja caballería. El dragón Juan Navarro , á pesar de haber recibido un golpe de sable del caballo, saltó á la trinchera: el capitán Pedrosa en su ropay cuerpo llevó cuatro balazos de fusil y uno de canon: repito que el parte por menor impondrá á la superioridad de V. E. de esta acción brillante. &gt; „ Acabo de llegar á este punto, adonde me retiré con los heridos por dis tar menos de Alahuixtlan qu…</t>
  </si>
  <si>
    <t>Pedrósa, Feliciano</t>
  </si>
  <si>
    <t>Feliciano Pedrósa</t>
  </si>
  <si>
    <t>…persiguió, sin mas pérdida que un caballo ensillado de los que' echaron pie á tierra. r ,,La columna de ataque dél teniente coronel D. Manuel Gómez, al man do del capitán graduado D. Feliciano Pedrósa, y la de mi cargo, se precipi-í taron tanto ál asalto de la fortificación del cementerio que á caballo saltaron Sobre ella muchos bizarros dragones, y dieron muerte en este acto á unos 60 rebeldes que defendían aquella, cuyo armamento recogió la división dé Z…</t>
  </si>
  <si>
    <t>Pedrosa, Feliciano</t>
  </si>
  <si>
    <t>Feliciano Pedrosa</t>
  </si>
  <si>
    <t>…mandé al expresado Cuilti pasase á su su perioridad. x. „ Me es preciso recomendar á V. E. el extraordinario mérito de los oficiales y tropa, particularmente el singular valor del capitán D. Feliciano Pedrosa, alférez de mi compañía., y el de la referida, pues todos ellos al ver me herido se arrojaron temerariamente á un parapeto casijinexpugnable á Ja caballería. El dragón Juan Navarro , á pesar de haber recibido un golpe de sable del caballo, saltó á la trincher…</t>
  </si>
  <si>
    <t>…ilados. „Por mi parte he tenido la sensible pérdida de an dragón de S. Luis, que murió al asaltar las trincheras, heridos el teniente coronel D. Manuel Gó mez, alférez graduado de capitán D. Feliciano Pedrosa, 4 dragones mas, y algunos contusos. „ Luego que las circunstancias me lo permitan pasaré á las superiores manos de V. E. el detall de esta brillante acción, y recomendaré á los que con tanto honor se han conducido. „Por falta de víveres, y por haber sido com…</t>
  </si>
  <si>
    <t>…o, y vien do que la valiente tropa deseaba con el mayor ardor avanzar contra el ene migo para vengar la sangre derramada de su valiente amado gefe, dispuse que •1 capitán graduado D. Feliciano Pedrosa, alférez de la misma compañía de dragones fieles, con 30 hombres compuestos de la misma compañía, drago nes de España y.realistas de este punto y Teloloapan, se echase á todo es cape sobre los parapetos, yendo yo con la caballería restante en su segui miento…</t>
  </si>
  <si>
    <t>…fuego que en el cemen terio y fortín del cerro hacían los enemigos, se echaron sobre los parapetos* de estos tomándoles los puntos; y en particular recomiendo al capitán gra duado D. Feliciano Pedrosa, quien después de hallarse con las dos ' heridas i se echó sobre la fortificación, donde recibió los golpes'contusos; al dragón» de fieles del Potosí Castolo Salazar, que hallándose con dos heridas de bala,; avanzó al parapeto, y al subir á este le dieron otr…</t>
  </si>
  <si>
    <t>PefÍafid, Luisa</t>
  </si>
  <si>
    <t>Luisa PefÍafid</t>
  </si>
  <si>
    <t>…Tahona en la, calle de este non1bre, y á una tierra, Cal'":,, respondientes ambas oí una 111emoria Ó vinculacion fundada en la parroquial de S. Pe:'dro por Eugenio Buitraguefío y Doña Luisa PefÍafid, que en la actualidad estan si~ po~ecdor conocido; y por providencia de 30 de J uEo último se 11a mandado fiJ~lr 'edictos por el término'de 14 meses, y d~r el correspondiente aviso en este per:iódico para que toao el que sc'conkmrle con derecho á ambas posesi…</t>
  </si>
  <si>
    <t>Pelaez, Diego Antonio Montero y</t>
  </si>
  <si>
    <t>Diego Antonio Montero y Pelaez</t>
  </si>
  <si>
    <t>…ntavilla para la de Ge rona, á D. Cristóbal González Doñelfo, y para la de Arjona , que está igual mente vacante por pTomocion á la de Cara vaca de D. Bernardo Josef de Hérvás:, á D. Diego Antonio Montero y Pelaez. ------------■ —— -i i- . - --------------------- 1 '■ ■ —■ ■- • ■ ■■ — ;---------------------- ■ *-r— — , La Dirección del Crédito público, en cumplimiento del Real decreto de 3 de Abril último, acordó que desde io del mismo mes se admitiesen, como se han ad…</t>
  </si>
  <si>
    <t>Pellicer, Josef</t>
  </si>
  <si>
    <t>Josef Pellicer</t>
  </si>
  <si>
    <t>…la imprenta Real.zzz En medio pliego de marca mayor Cuaderno p.° D. Hugo de Mon eada, el Cardenal Silíceo, Bartolomé de Carranza, D. Antonio Covarrubias y Leiva, Antonio Perez, y D. Josef Pellicer: io. D. Pedro González de Mendoza, D. Mel chor de Macanaz, Fr. Francisco Ximenez de Cisneros, Vasco Nunez de Valboa, D. Josef Carrillo de Albornoz, y Hernando de Alarcon; ix. Juan de Torquemada, Hernando de Soto, D. Rodrigo Ximenez, Sto. Tomas de Villanueva,…</t>
  </si>
  <si>
    <t>Peña, Josef María</t>
  </si>
  <si>
    <t>Josef María Peña</t>
  </si>
  <si>
    <t>…e. De Frontera: teniente coronel graduado D. Josef María Novoa , teniente D. Josef María Gutiérrez, " . Felipe Guillen, y agregado D. Mariano Miqueley, alférez graduado d^ - .rnañ'D. Josef María Peña , poirta graduado dé teniente D. Mariano Teran, porta D, Benito Fernandez y cade:e!D. Josef Zamora. De Nueva-Vizcaya: capitán D. Josef María Móreno y\alféreces' D. Justo Escudero y D. Lazaré Ariñendariz. Dragones de Sieffagorda: teniente coronel graduado D. C…</t>
  </si>
  <si>
    <t>Peña, Juan</t>
  </si>
  <si>
    <t>Juan Peña</t>
  </si>
  <si>
    <t>…Granada, por fallecimiento de D. Alejandro Perez Romero, á Don Josef Sánchez Madueño , capellán párroco del tercer regimiento de Artillería: en la de Tortósa, por!fallecimiento de D. Juan Peña, á D. Francisco Soler, capellán del regimiento de caballería de España: en la de Segovja, por muefte dé D. Juan de Benito, á Di Juan Antonio Jordán, capellán del regimien to de caballería de Borbon: eñ la de Lérida, por la dé D. Josef Villar Gorozabel, á D. L…</t>
  </si>
  <si>
    <t>Peña, Leandro García</t>
  </si>
  <si>
    <t>Leandro García Peña</t>
  </si>
  <si>
    <t>…lla de Haro, en la Rioja, provincia de Búrgos* obispado de Calahorra y la Calzada, y por'el oficio dé O. Manuel Saenz de ía Maleta , escribano de su número , se siguen autos entre D. Leandro García Peña, natural de la misma villa, y D. Ciríaco Cantabrana/ avecindado en la ciudad de Nájera, de la citada provincia, sobre la pertenencia del mayorazgo fundado por el capitán D. Nicolás de Villanueva Mendoza, poseído últimamente por D. Miguel de Santervas Miguel y…</t>
  </si>
  <si>
    <t>Peñalba, Nicolás González de</t>
  </si>
  <si>
    <t>Nicolás González de Peñalba</t>
  </si>
  <si>
    <t>…doá los alumnos' las cuatro clases .por el tiempo y• es pacio que pareciere á los. examinadores. Los opositores se dirigirán dentro del ex* presado término al secretario capitular D. Nicolás González de Peñalba., . , Si alguna persona tiene noticia del vitalicio de segunda hipoteca, núm. 2250, importante su capital 24334 rs. en cabeza de Doña Ramona de Zamácola, que se cree extraviado; en la casa núm, 4, cuarto principal, puerta del Sol , al tiempo que iSe incendió…</t>
  </si>
  <si>
    <t>Peñalver, Manuel Crespo y</t>
  </si>
  <si>
    <t>Manuel Crespo y Peñalver</t>
  </si>
  <si>
    <t>…la educación, la agricultura, las artes y el comercio, para lo cual ofrecerá premios 4 los que mejor desempeñen estos objetos en el año pró ximo venidero. Huete 2 G de Octubre. y D. Manuel Crespo y Peñalver, catedrático de latinidad , retórica y poé tica por S. M. para la pública enseñanza de esta ciudad, socio de mérito de la Real academia latina matritense, presentó sus discípulos á examen publico el dia 16 del pasado divididos en tres clases, siendo examinado…</t>
  </si>
  <si>
    <t>Penaso, Antonio</t>
  </si>
  <si>
    <t>Antonio Penaso</t>
  </si>
  <si>
    <t>…Juan de las Fuentes, D. Julián de Arozarena, D. Manuel de Navacerrada, D. Lorenzo Tarsis y herma nos, D. Manuel de Iruegas, D. Josef Ignacio Gutiérrez, la casa de Iruegas y Gil, y D. Antonio Penaso, sus hijos, herederos ó sucesores, para que en el término de 30 dias, contados desde el 4 de Agosto del corriente año, se presenten por sí o por* medio de apoderado en la audiencia de dicho señor y escribanía de provincia que despacha D. Manuel López de Rivas…</t>
  </si>
  <si>
    <t>Pendaries, Juan</t>
  </si>
  <si>
    <t>Juan Pendaries</t>
  </si>
  <si>
    <t>…obres y los dos de paga premiados en cada una de las 62 escuelas recibieron de mano de S. M. los premios á que se habían hecho acreedores, y los dos pasantes D. Fer nando Algora y D. Juan Pendaries los títulos de maestros. Ultimamente habiendo ofrecido la junta un premio de 320 rs. al maestro de las seis úocho diputaciones que comprende cada uno de los diez cuarteles de Madrid que presentase lós niños mejor educados, y en menos tiempo, en tpdos los ramo…</t>
  </si>
  <si>
    <t>Penedo, Josef</t>
  </si>
  <si>
    <t>Josef Penedo</t>
  </si>
  <si>
    <t>…mayores adelantamientos y ¡aplicación en doctrina cristiana, en leer y escribir, en la gramática y orto grafía latina y castellana; y ¡ep el dibujo. En seguida el socio presbítero Don Josef Penedo elojgió en un discurso los desvelos de la sociedad y la aplicación de los maestros y discípulos premiados.; y animando á estos á que continua sen en sus tareas, y á los otros á que procurasen imitarlos, concluyó dando las gracias al numeroso concurso, que se…</t>
  </si>
  <si>
    <t>Pénelas, Bernardo</t>
  </si>
  <si>
    <t>Bernardo Pénelas</t>
  </si>
  <si>
    <t>…4, D. Josef Antonio Rasquin 5 , D. Francisco de Iturbe 10, D. Ramón de Azpurua 5 , Dv Miguel Rabelo Alcántara 16, D. Félix Domingo Martínez 2 , Don Juan: Esteban de dEehezuria 20, D. Bernardo Pénelas 20, T). Antonio Na;yarro 20, D. Josef Antonio y D. Manuel María Díaz 16 ¿ D. Agustín Espi no y D. Juan Ribero 20 , D. Félix López 2c, D. Juan Nepomuceno Be llo 30, D. Víctor Lerin 15 , D. Juan Josef Fuertes 10, D. Antonio Oramas 10, D. J osef Pacanis y Nicola…</t>
  </si>
  <si>
    <t>Peón, Ramón</t>
  </si>
  <si>
    <t>Ramón Peón</t>
  </si>
  <si>
    <t>…riente mes. Dióse principio por un papel alusivo al objeto, que leyó el primer maestro di rector D. Cayetano Fernandez Villamil. Fueron examinados en aritmética Don Manuel Barbet, D. Ramón Peón, D. Josef Rodríguez Romero, D. Luis Cla^ vareza, D. Juan Corvera y D. Josef Echániz. En álgebra'D. Manuel Rodrí guez Almeida. En geometría ios citados Almeída y Clavareza, D. Manuel María Riberos, D. Vicente Rey, D. Ramón Casal y D. Joaquín Clavareza. En trig…</t>
  </si>
  <si>
    <t>Peralta, Alonso Nunez de Haro y</t>
  </si>
  <si>
    <t>Alonso Nunez de Haro y Peralta</t>
  </si>
  <si>
    <t>…esiástico, antiguo y mo derno; previniéndose que continúa abierta la suscripción. Sermones escogidos morales y panegíricos, y pláticas espirituales y cartas pasto rales del Excmo. Sr. D. Alonso Nunez de Haro y Peralta, virey interino, goberna dor y capitán general que fue de Nueva-España, cabállero prelado gran cruz de la Real orden española de Carlos 111, del Consejo de S. M., arzobispo de México &amp;c., con el retrato del autor y un resumen de su vida. El mérito de estos se…</t>
  </si>
  <si>
    <t>Peredo</t>
  </si>
  <si>
    <t>…adre pidiéndome tropa para por las azoteas proteger á los dragones que se escapaban de las garras de los enemigos, como en efecto se verificó; pues parte de mi tropa, al mando del capitán Peredo, sostenía á los que buscaban asilo : asi logrp dicho capitán y el teniente Vázquez con D. Ignacio Basadré reunir la mayor parte de los dragones , ayudando con valentía el distinguido D. Josef Pruna , á quien á su petición le di un fusil para el efectos „ A la…</t>
  </si>
  <si>
    <t>Peredo, Juan</t>
  </si>
  <si>
    <t>Juan Peredo</t>
  </si>
  <si>
    <t>…Teodoro Colín. A pesar de estar ya V. 5. bastante herido se mantenía constante hasta ver el fin que habian tenido los dragones de Nueva-Galicia; pero á la sazón se presentaron el capitán Don Juan Peredo, el teniente D. Antonio Vázquez y el cadete D. Ignacio Basadre pidiéndome tropa para por las azoteas proteger á los dragones que se escapaban de las garras de los enemigos, como en efecto se verificó; pues parte de mi tropa, al mando del capitán Peredo, soste…</t>
  </si>
  <si>
    <t>Peredo, Manuel Fernandez</t>
  </si>
  <si>
    <t>Manuel Fernandez Peredo</t>
  </si>
  <si>
    <t>…án D. Joa quín Espinosa y D. Antonio Ortiz, teniente D. Josef Ponce y alférez Don Rafael Salinas. „ También recomiendo á V. S. muy particularmente á mis ayudantes capitán graduado D. Manuel Fernandez Peredo y teniente D. Francisco Santelices, del regimiento de dragones de Moneada , y capitán graduado D. Ma nuel Rodríguez, de fíeles del Potosí, quienes comunicaron mis órdenescon la mayor puntualidad; y también recomiendo á V. S. al bachiller D, Anto nio Cea, que…</t>
  </si>
  <si>
    <t>Pereira, Benito</t>
  </si>
  <si>
    <t>Benito Pereira</t>
  </si>
  <si>
    <t>…Alonso, Pereira, Arias, Veiga, D. Be nito Pereira, D. Josef Pujadas, D. Josef María Loureiro y D. Fermín Galceran. En navegación los referidos Martínez, Pujadas, Loureiro, Pumar y D. Benito Pereira; y en geografía los expresados Martínez, D. Benito y Don Florencio Pereira: habiendo merecido la aplicación de todos y sus adelanta mientos, no solo en las materias sobre que fueron examinados , sino también por varios dibujos que han presentado, y representa…</t>
  </si>
  <si>
    <t>Pereira, Florencio</t>
  </si>
  <si>
    <t>Florencio Pereira</t>
  </si>
  <si>
    <t>…a, los citados Riberos y Rey, Don Josef Alonso y D. Josef Vicente Veiga. En trigonometría esférica los mismos Alonso, Veiga, Riberos, Rey, D. Joaquín Clavareza, D Felipe Martínez, D. Florencio Pereira, D. Francisco Pumar y D. Cosme Arias. En cosmogra fía los expresados Martínez, Pumar, Alonso, Pereira, Arias, Veiga, D. Be nito Pereira, D. Josef Pujadas, D. Josef María Loureiro y D. Fermín Galceran. En navegación los referidos Martínez, Pujadas, Loureiro, P…</t>
  </si>
  <si>
    <t>Pereira, Josef</t>
  </si>
  <si>
    <t>Josef Pereira</t>
  </si>
  <si>
    <t>…lla del batallón de Castilla cargó intrépidamente ai enemigo con ventaja de nuestras armas: al bizarro teniente coronel y coman-: dante del batallón de milicias Pardos de Valencia D. Josef Pereira, que af frente de su cuerpo cargó con la mayor intrepidez al enemigo hasta ser herí-1 do: al comandante del batallón Pardos de Carácas D. Juan Nepomuceno Que-» ro, que casualmente se halló en la acción con 18 soldados de su cuerpo, y con los que cargó al enem…</t>
  </si>
  <si>
    <t>Perella, Diego López</t>
  </si>
  <si>
    <t>Diego López Perella</t>
  </si>
  <si>
    <t>…de S. M., teniente primero de Corregidor de esta muy heroica villa, en cuyo juzgado y escri banía de numero de D. Tomas de Sancha y Prado se siguen los autos de testamen taría del Sr. D. Diego López Perella; y en conformidad de lo acordado por su» acreedores, se subastan por término de 20 dias, que finalizarán el 26 del presenté mes, y es el señalado para su remate á las 12 en la audiencia de S. S., las fincas si guientes : primeramente una oasa de esquileo y la…</t>
  </si>
  <si>
    <t>Perez</t>
  </si>
  <si>
    <t>…ba aquel territorio, habiendo sido el resultado la apreheasion de dicho rebelde, otro titulado teniente y 2 soldados, quitándoles 10 ca ballos , un pjar de pistolas y 4 sables. El capitán Perez conducía á esta ciudad á los expresados reos con la escolta de la asignación de tabacos que llegó el día de ayer; pero habiéndose puesto en fuga al paso por unos desfiladeros, fueron muertos por los que los custodiaban. ,, Recomiendo á V. E. el citado oficial…</t>
  </si>
  <si>
    <t>Perez, Francisco</t>
  </si>
  <si>
    <t>Francisco Perez</t>
  </si>
  <si>
    <t>…obligación, sin que les hiciese désiiiáyár hi lo crudo del clima, ni la languidez que tuvieron que su frir con nó tomar otro alimento en mas de 8 dias que maíz tostado. ,, El Br. D. Francisco Perez, cura de Ixhuatlan, tagibien tuvo mucha in fluencia en esta pacificación, tanto por las noticias que me comunicó, cuanto por las proclamas que les dirigió de su curato, y me ha acompañado en todas mis marchas, tolerando con gusto los trabajos qué estas han pr…</t>
  </si>
  <si>
    <t>Perez, Juan Bautista</t>
  </si>
  <si>
    <t>Juan Bautista Perez</t>
  </si>
  <si>
    <t>…sas, Fernando Fr. Bartolomé ÍrentaReal.una, Andrés=rLaguna,En de Nunez D. de Guzman, Francisco Sánchez, y D. Alfonso de Villegas: 15. Ñuño.Nuñez Rasura¿ Lain Calvo, Pedro Navarro, D. Juan Bautista Perez, D. Gerónimo Gómez de Huerta, y D. Gas par de Guzman y Pimentel. (Se continuara.') El Sr. D. Angel Fernandez de los Ríos, del.Consejo de S. M., teniente corre gidor de esta muy heroica villa, ha señalado el domingo 11 del corriente á las nue ve de su mañana ,…</t>
  </si>
  <si>
    <t>Perez, Manuel Bernardino</t>
  </si>
  <si>
    <t>Manuel Bernardino Perez</t>
  </si>
  <si>
    <t>S. M. se ha servido conceder permiso para usar la condecoración de !a* flor dé Lis á D. Manuel Bernardino Perez, alcalde honorario del crimen de &gt; la audiencia de Galicia, y corregidor dé la ciudad de Betanzos. í El Rey se ha dignado admitir eldonativo dé 1600 pesos fuertes que por conducto del R. P. comisario generat*de Indias ha hecho á S. M. la abadesa y comunidad d…</t>
  </si>
  <si>
    <t>Perez, Mariano</t>
  </si>
  <si>
    <t>Mariano Perez</t>
  </si>
  <si>
    <t>…de su segundo el teniente coronel graduado D. Juan de Armas, su plicándole sea extensiva al subteniente de milicias de pardos de Campano Ja cinto Valdivieso, y del padre capellán D. Mariano Perez, por la particular que me hace de estos dos últimos el referido Ximenez. Con motivo ael opor tuno arribo á esta plaza del expresado D. Ramón Aréválo, le he destinado á encargarse del mando de Cariaco, como lo estaba antes que sus males le hubie ran obligado á…</t>
  </si>
  <si>
    <t>Perez, Máximo</t>
  </si>
  <si>
    <t>Máximo Perez</t>
  </si>
  <si>
    <t>…uierdo, y yo de un balazo que recibí en la pierna derecha, lastimándola demasiadamente por unos cuantos pasos que di, y no pudiendo ya caminar me montó á caballo el padre capellán D. Máximo Perez, volviendo á alentar la tropa que se había desmayado, y logré con sable en mano reunir mi gente, con cuya operación decidí la acción. La oficialidad y tropa ha peleado con el mayor valor; y debo en justicia recomendar el bri llante mérito del valiente D. Juan…</t>
  </si>
  <si>
    <t>Perí, Joaquín Alaría</t>
  </si>
  <si>
    <t>Joaquín Alaría Perí</t>
  </si>
  <si>
    <t>…Julio próximo pasado el mariscal de Campo, comandante general del reino y costa ae Granada D. Josef O-Lawlor, juez protector de la obra del muelle, y el ingeniero director de ella D. Joaquín Alaría Perí, fueron acompañados desde las casas de su morada por el cabildo eclesiástico, cuerpo de ayunta miento y estado militar al parage donde debía colocarse la primera piedra angular, fundamento de una obra tan interesante al Estado &gt; á la navegación, y principalme…</t>
  </si>
  <si>
    <t>Perí, Joaquín María</t>
  </si>
  <si>
    <t>Joaquín María Perí</t>
  </si>
  <si>
    <t>…manifestasen su parecer sobre las ventajas que podría proporcionar la egCcucion de aquella obra. Y como los informes de estos, y el que dio el ingeniero en gefe graduado de marina D. Joaquín María Perí de resultas del'reconocimiento que practicó, estuviesen conformes con los soberanos deseos, no dudó un momentoS. M. en aprobar na solo la obra, sino también los arbitrios propuestos por el ayuntamiento para su reali zación. Expedidas las órdenes*al efecto, y…</t>
  </si>
  <si>
    <t>Perri</t>
  </si>
  <si>
    <t>…á los interesados, quienes conmigo tributan áV. E. las mas expresivas gracias por la generosidad, con que ha premiado^ corto mérito que contrajimos en* la destrucción del faccioso coronel Perri y su gavilla., quedando igualmente en* mi</t>
  </si>
  <si>
    <t>Perry</t>
  </si>
  <si>
    <t>…ciones de la bahía re cibí 5 correos consecutivos, por los que me avisaba el comandante de aquel ¡punto tenia sobre el presidio-una partida de americanos mandados por el ti tulado coronel Perry y el mayor Gonton, quienes le intimaban la Tendicion 4e aquel punto., y las ningunas fuerzas coo que se hallaba para castigar su</t>
  </si>
  <si>
    <t>…e le había nombrado ei pérfido Mina: que al mismo tiempo que este salió de Soto ia Marina para lo interior del reino, lo verificó con dirección á la provincia de Tejas el titulado coronel Perry , sar-</t>
  </si>
  <si>
    <t>Pery, Joaquín María</t>
  </si>
  <si>
    <t>Joaquín María Pery</t>
  </si>
  <si>
    <t>…vido solo de confirmar en su opinión á los vecinos de está ciudad, qué se creían seguros de estos estragos mediante las obras egecutadas bajo la dirección del ingeniero de''marina D. Joaquín María Pery. En efecto las aguas que se acumularon en esta aveniday qué en oirás semejantes habían llenado de consternación á toda la ciudad, corrióion ahora libremente por la madre principal del rio Guadalmedina y por lós canales que sé han abierto á sus costados, sin q…</t>
  </si>
  <si>
    <t>Pesquera, Juan</t>
  </si>
  <si>
    <t>Juan Pesquera</t>
  </si>
  <si>
    <t>97 Parte del coronel D. Juan Pesquera. „ Excmo. Sr.: A las seis de la mañana de este .dia recibí el adjunto plie go del coronel D. Francisco de Orrantía, quien me súplica que sin pérdida de momento se lo dirija á V. E., por contener la plausible noticia de la pri sión del traidor Mina, cuya inter…</t>
  </si>
  <si>
    <t>Phipps</t>
  </si>
  <si>
    <t>1132</t>
  </si>
  <si>
    <t>1132 ron una muralla Impenetrable dé hielo, el mismo obstáculo que en 1773 de tuvo al capitán Phipps. Uno de los buques de esta expedición ha tenido gran des averías, pues habiéndose metido entre dos montañas de. hielo flotantes, recibid grandes y repetidos golpes, que casi le inhabilitaron, para navegar. Sin embargo se asegura que en el año próximo se repet…</t>
  </si>
  <si>
    <t>Piar</t>
  </si>
  <si>
    <t>…os de distinción. Los asuntos de los insurgentes americanos han tomado tan mal aspecto, que aun los hombres mas crédulos no se dejarán ya alucinar con sus prome sas. La muerte del general Piar, la prisión de Mina, la destrucción de sus secuaces, la deserción del almirante Brown, la retirada de Mac-Gregor, la desunión entre los insurgentes, y el favorable aspecto que ofrecen las nego ciaciones por efecto de una política ilustrada con la experiencia,…</t>
  </si>
  <si>
    <t>Picado, Josef</t>
  </si>
  <si>
    <t>Josef Picado</t>
  </si>
  <si>
    <t>…zález Malliani, de edad de 12 años, un huso dé marfil con embutidos dé gusto , por haber presentado unas madejitas de hilo finísimo hilado por su maño: áTomas Torre, discípu lo de D. Josef Picado, maestro del torno al aire en la Real casa de hospicio, y. socio de mérito.en clase de profesor , 40 rs. en.premio de su aplicación: á D. Pantaleon de la Rosa, maestro llavero dé la Real fábrica de armas de estaciudad, que presentó dos llaves de escopeta de m…</t>
  </si>
  <si>
    <t>Pictet</t>
  </si>
  <si>
    <t>7^9 den á leer la Escritura 6© muchachos, entre los cuales se cuentan algunos hijos de bracmanes. . Concluida esta lectura, él profesor Pictet propuso que ésta exposición se imprimiese y tradugese al francés, lo cual fue acordado, FRANCIA. París i 8 de Julio. El 6 del corriente llegaron á Bár-le-Duc 18 caballos escogidos entre los de mejor raza de la Rusia, que S. M. el Emperador Alejandro envia de…</t>
  </si>
  <si>
    <t>Piña, Martin</t>
  </si>
  <si>
    <t>Martin Piña</t>
  </si>
  <si>
    <t>…naron toda la noche con una lluvia tan tenaz como abundante»y yo con el resto de la caballería de mr mando y 20 infantes del regimiento de NuevaEsp.aña , al cargo del subteniente D. Martin Piña, tomé* el camina de S. Pe dro , por donde debían ios enemigos emprender sur retirada. ' „ Cuando llego la columna ó partida destinada á batirlos , ya los rebeldes bo ocupaban el cerro de Zietepec, y únicamente aparecieron 4 par el punto donde me situé, que co…</t>
  </si>
  <si>
    <t>Pineda, Pedro</t>
  </si>
  <si>
    <t>Pedro Pineda</t>
  </si>
  <si>
    <t>…tro de los maestros de primeras letras de 600rs. el primero, de 300 el se gundo , y de 200 cada uno de los dos restantes por este orden, en los profe sores D. Mánuel Antonio Ruiz, D. Pedro Pineda, P, Fr. FráiicismReve na y Fr. Joaquín López, dé observantes de S. Francisco, con título de «ocios* de mérito a estos dos religiosos, y el último á D. Vicente Berguillos. Los dos premios de 50 rs. vn. el uno y de 20 el otro para los dos discí pulos mas adelan…</t>
  </si>
  <si>
    <t>Pinedo, Agueda de</t>
  </si>
  <si>
    <t>Agueda de Pinedo</t>
  </si>
  <si>
    <t>…primeras letras, cuya enseñanza está al cargó del maes tro D. Vicente González de Mendoza; y en lo tocante á costura^y bordado, de que presentaron varias labores, al de la maestra Doña Agueda de Pinedo jr su ayudanta, y por todo merecieron un general aplauso en atención á su ade lantamiento. Los discípulos de primeras letras igualmente y por clases dieron pruebas satisfactorias de su aplicación y adelantamientos, respondiendo á cuantas preguntas les hiciero…</t>
  </si>
  <si>
    <t>Pinedo, Manuel Ortiz de</t>
  </si>
  <si>
    <t>Manuel Ortiz de Pinedo</t>
  </si>
  <si>
    <t>…paguen sus réditos sin este requisito, y en la de que Ies parará el perjuicio que haya lugar á los que no se presenten dicho dia á la expresada junta con los documentos referido$.=D. Manuel Ortiz de Pinedo, corregidor. Madrid 20 de AbriL ARTICULO DB OFICIO. Circular del Consejo Real* . En 20 de Marzo último el Excmo. Sr. D. Juan Lozano de Torres, Se cretario de Estado y del Despacho de Gracia y Justicia, comunicó al Con sejo por medio del Excmo. Sr. duque del I…</t>
  </si>
  <si>
    <t>Pino, Ignacio</t>
  </si>
  <si>
    <t>Ignacio Pino</t>
  </si>
  <si>
    <t>…rajeron por sus disposiciones los tenientes coroneles gra duados comandantes de escuadrón D. Felipe Farjas y D. Josef Martínez; los capitanes D. Juan Sánchez, D- Basilip Castillo, D. Ignacio Pino, D. Regino Landaeta y D. Juan Bautista Urrutia. El capitán D. JuliánJNiéves, y el te niente de S. Francisco de Tisnádos con su valiente escuadrón se Excedieron á ¿uantq puede, exagerarse, como igualmente el campo volante del Pao, á las órdenes del teniente Es…</t>
  </si>
  <si>
    <t>Pinos, Mariano</t>
  </si>
  <si>
    <t>Mariano Pinos</t>
  </si>
  <si>
    <t>…de la extensión; D. Anacleto Toron sobre la excelencia y utilidades del ál gebra. Dia 2.0 D. Pedro Navarro acerca de las leyes del equilibrio de los flui dos y sus consecuencias; D. Mariano Pinos del movimiento de los fluidos y distribución de las aguas. Día 3.0 D. Nicasio López sobre la resolución de los triángulos rectilíneos y su utilidad; D. Miguel Garcés de las leyes del equilibrio, y ventajas que adquiere la potencia con las máquinas. Dia4.° Don…</t>
  </si>
  <si>
    <t>…o el buen desempeño de los res tantes, se habia dispuesto recompensar á D. Nicasio López, D. Josef Yarza y p» Anacleto Toron con un egemplar á cada uno de la obra del Vallejo, y á D. Mariano Pinos, D. Miguel Garcés y D. Pedro García con otro de la de Lacroix, cuyas obras ricamente encuadernadas en pasta tenían en la cubierta una leyenda que decía: la Real Sociedad Aragonesa al mérito de T&gt;. N. de JV. Todos recibieron los expresados premios de mano del…</t>
  </si>
  <si>
    <t>Pinos, Raíael</t>
  </si>
  <si>
    <t>Raíael Pinos</t>
  </si>
  <si>
    <t>…», colector ^general de Espplios y "V .acames ; los cabailerizos pnineros de S$. M¡M. y AÁ. ..marques de Sotomayor , cab^llcrogran cruz de Ja Real distinguida orden de Carlos iii; D. Raíael Pinos ; marques; de Monsalú y marques de Casa Ma drid; «I obispo de Tarazona, inquisidor, general; los ^capí^anes generales .Don Josef Palafox y .Melci, cabaHerp gran cruz de la Real y militar orden, de San Fernando, y de la de S. Hermenegildo; D. Joaquín Blak, cab…</t>
  </si>
  <si>
    <t>Pinto, Antonio Lardin y</t>
  </si>
  <si>
    <t>Antonio Lardin y Pinto</t>
  </si>
  <si>
    <t>…osef Villamil y Uriarte; D. Narciso Ár'espacochaga y Bertendona; D. Josef XJrbina y Daoiz ; D. Josef Sola y del Castillo ; D. Pedro Villar y Abello \ Don Diego Fernandez Carcelen; D. Antonio Lardin y Pinto; D. Antonio Fer* nandez Carcelen; D. Francisco Osorio y Bernal; D. Manuel Marín y Ra mos; D. Juan López y Martínez, y D. Mariano dé la Vega y Romero. Quien quisiere comprar una casa sita eñ el lugar de Fuencarral, y calle que lia— man dé'Juan Pardo , que tien…</t>
  </si>
  <si>
    <t>Pinuer, Manuel</t>
  </si>
  <si>
    <t>Manuel Pinuer</t>
  </si>
  <si>
    <t>…to Valverdet los tenientes Don Juan Ruiz Ordoñez., D. Vicente González y D. Antonio Henriquez: los sub tenientes D. Diego Duran, D. Vicente Benavides y D. Tomas Calvo: el ca pitán D. Manuel Pinuer; y el subteniente D. Josef Ugarte. ,,Ultimamente concluyo con demostrar el mayor -sentimiento por la muerte del esforzado subteniente de infantería de Concepción D. Alejo Da-* rae y Vilches, joven de una disposición , conducta y valor extraordinario, habiendo…</t>
  </si>
  <si>
    <t>Piqueras, Juan</t>
  </si>
  <si>
    <t>Juan Piqueras</t>
  </si>
  <si>
    <t>…o de in fantería de la Princesa: la tercera de la de Ceuta á D. Antonio Toderin!, subteniente del regimiento de infantería de Irlanda; y la del castillo de Mon zón , .en Aragón, á D. Juan Piqueras, subteniente del de infantería de Sevilla. Asimismo ha provisto S. M. las canongías vacantes; en la santa iglesia ca tedral de Granada, por fallecimiento de D. Alejandro Perez Romero, á Don Josef Sánchez Madueño , capellán párroco del tercer regimiento de Art…</t>
  </si>
  <si>
    <t>Pires, Cayetano</t>
  </si>
  <si>
    <t>Cayetano Pires</t>
  </si>
  <si>
    <t>…Kian-nan y Honan. Un obispo portugués, de la congregación de S. Vicente de Paul, que reside en Pekín: seis sacerdotes del pais: unos 33®.cristianos: religión cristiana prohibida: obispo D. Cayetano Pires, de la misma congregación (4). y (1) Los agustinos españoles tienen en este obispado una misión ', de la cual cuida ahora el ordinario, como también de. las que dejaron los franciscanos de Manila. (2) En este numero no se comprenden como 5© cristianos, poco m…</t>
  </si>
  <si>
    <t>Pizarra, Jósef</t>
  </si>
  <si>
    <t>Jósef Pizarra</t>
  </si>
  <si>
    <t>…ncipal de lásf academias y cuelas artísticas del reino, Doña María Francisca dé Asís-, su augusta esposa^ y D. Francisco de Paula, consiliario demérito de lá academia. , El Excmo. Sr. D. Jósef Pizarra, primer Secretario de Estado^ protector, con el vice-proteelor y un lucido concurso de grandes y caballeros, individuos todos de la academia, recibieron á las Reales Personas al pie de la? escalera', y lás señoras, colocadas en lá sala de entrada, y enfrente…</t>
  </si>
  <si>
    <t>Pizarro, Josef</t>
  </si>
  <si>
    <t>Josef Pizarro</t>
  </si>
  <si>
    <t>…gusta Esposa ¿ ;los 105 cajones en que venia cus todiada , mandó en ir de Octubre último que se pusiese todo á disposición del primer Secretario de Estado y del Despacho el Excmo. Sr. D. Josef Pizarro, para que como protector del Museo de Ciencias Naturales dis pusiese que se colocasen en el gabinete de Historia Natural los objetos de zoologia, y mineralogía., y en la biblioteca y herbario del Real Jardín Botánico los correspondientes á botánica ¿ como asi…</t>
  </si>
  <si>
    <t>…iente co ronel inclusive abajo. Tendreislo entendido, y dispondréis lo conveniente á que se lleve á efecto. = Rubricado de la Real mano de S. M. En Paiacio á 12 dé Mayo de iBi8.=A D. Josef Pizarro.” Enterado él Rby nuestro Señor con mucha complacencia de la solicitud de Simón Agüero y Lorenzo Gutiérrez , vecinos de la villa de Velliza, en la provincia de Valladolid , quienes proponen establecerse con otros dos labra. dores en el lugar de Villamaretel ,…</t>
  </si>
  <si>
    <t>…chamente sus soberanas disposi ciones en tan importantísimo asunto* ,, Dios guarde á V. E. muchos años. Barcelona 24 de* Julio de 1818. = Excmo. Sr. = Xavier de Castaños. = Excmo. Sr. D. Josef Pizarro.” justado qué manifiesta la distribución que se ha hecho de los tres batallo'pes, ligeroi ¿te TarragonaJTostalfich y. IB arrastro,, y destacamentos ''de 'caballería^ 'Mxcmo. Sr. .capitafi\gen eral de esté "egífrito y principado d'forrndr el cordon, de sanidad…</t>
  </si>
  <si>
    <t>Pizarro, Josef García de León y</t>
  </si>
  <si>
    <t>Josef García de León y Pizarro</t>
  </si>
  <si>
    <t>…con S. M. el Rey del reino de las Dos Sicilias, habiéndose convenido amistosa y recíprocamente por medio de los ministros comisionados al efecto, que lo fueron de la una parte-el Señor D. Josef García de León y Pizarro, consejero de Estado, v Secretario enton ces del despacho de Estado; y de la otra él Sr. D. Julio Ruffo de Calabria, príncipe de Scillá, Ministro Plenipotenciario , y embajador extraordinario de S. M. Siciliana cerca del Rey nuestro Señor. S. M. lo comunicó á…</t>
  </si>
  <si>
    <t>Pizarro, Josef León y</t>
  </si>
  <si>
    <t>Josef León y Pizarro</t>
  </si>
  <si>
    <t>…juntamentecon la relación de la-disección anatómica que hizo de pila el Cirujano titular de aquella ovilla D. Santiago Madero que Ja em balsamó» la^remitió á esta corte al Excmo. Sr. D. Josef León y Pizarro, pri merSecretario dei Estado y del Despacho;, el cual ría mandó examinar ai vice profesor de? .apología del Real museo de esta corte D. Tomas Villanova. - 1</t>
  </si>
  <si>
    <t>Pízarró’, Josef García de León y</t>
  </si>
  <si>
    <t>Josef García de León y Pízarró’</t>
  </si>
  <si>
    <t>…lamado vulgarmente punta de platina, único en su especie que la munificencia del Rey nuestro Señor ha mandado colocar en el Real gabinete de Historia natural, por medio del Excmo. Sr. D. Josef García de León y Pízarró’, primer Secretario de Estado y del Despacho, quien antes quiso examinarlo por sí , é informarse acerca dél mérito y parv.</t>
  </si>
  <si>
    <t>Plá, Antonio</t>
  </si>
  <si>
    <t>Antonio Plá</t>
  </si>
  <si>
    <t>…a , y. á toáoslos sóldadósde éste ¿gérpo que íes' quedaron’después de Ja accion!de Ottiz. 1 v' 1 ' . ‘ ÍV;‘ ?! '..'¡e. ’f , .'rrrrjr. ?;•p°- Parte circunstanciado' del coinandante D. Antonio Plá al Exento» Sr. generar en gefe del egército expedicionario' sobre la gloriosa, acción • del Rincón de fes ipor os. e . ... -- \ xeaíir.i ,,Exmo. Sr.: Después de 26 horas de, penosa marcha llegamos éh ía ma drugada de aye^&gt; sin habep'hécEo^tiu de^caiijSo &gt; aEt…</t>
  </si>
  <si>
    <t>…os los gefes y oficiales se esmeraroh^en cumplir con su deber; pero yo faltaría al mió si dejase de recomendar á V. E. el gran mérito que contrajeron el co-! mandante de escuadrón D. Antonio Plá, el capitán gefe del estado mayor DonTomas Renovales y mi ayudante de campo D. Miguel de Carrion y Azopar-’ do, tanto por la bizarría con que á mi inmediación avanzaron al enemigo, como por la serenidad y prontitud con que contuvieron y ordenaron la ca baller…</t>
  </si>
  <si>
    <t>Plá, Juan</t>
  </si>
  <si>
    <t>Juan Plá</t>
  </si>
  <si>
    <t>…D. Juan Santos de Larrazabal 5, D. Josef Jesús Goenaga 10, D. Miguel Martínez 5, D. Pedro Aguerrebere 5, D. Domingo Segura 5 , Don Bartolomé Echenique 5 , D. Toribio Espinosa 20, D. Juan Plá 5 , D. Lo renzo Treillan- 5 , D. Francisco Espelosin 10, D. Miguel Portillo 5 , Don Juan: Hernández 6 , D. Josef Baez 2 , D. Josef Arrese 4, D. Francisco-Ruz 1, D. Josef Manuel Chirinos 4 , D. Gerónimo Losada 3 , D. Rodulfo Vasallo iD. Tomas Pónce 4 reales¿ D…</t>
  </si>
  <si>
    <t>Planillo, Joaquín</t>
  </si>
  <si>
    <t>Joaquín Planillo</t>
  </si>
  <si>
    <t>…los directores, y hecha la debida graduación, resultaron premiados en el dibujo dé estatúas D. Tófibio Lához; en el modelo D. Joaquín Exarque; en el dibujo de academias de figuras D. Joaquín Planillo; en el de cabezas DonEduardo* Vicente, D. Josef Sotero de Izaguirre,D. Mariano Larralde y Don Josef Santos; porque aunque no se ofreció sino una medalla, los directores los juzgaron dignos de esta recompensa, y la academia condescendió con su propuesta; En el…</t>
  </si>
  <si>
    <t>Platow</t>
  </si>
  <si>
    <t>…corte.' Esta mañana ha salido de aqui para Moscow S. A. I. el gran duque, Ni colás , de quien ha sido nombrado estos dias mayordomo mayor el conde.de Modena. Ha muerto el célebre conde Platow, cuya desgracia se atribuye general mente al excesivo sentimiento que le causo la muerte de su hijo. Este joven, dig no imitador de las proezas militares de su padre, y él ídolo y la esperanza de la nación guerrera que debía fiarle un dia el honor de sus arma…</t>
  </si>
  <si>
    <t>Plenipot, Ministro</t>
  </si>
  <si>
    <t>Ministro Plenipot</t>
  </si>
  <si>
    <t>…onio y llevándoles la mesa á las sillas en qifc ■ respectivamente se hallaban colocados, y sirviéndoles el tintero el mismo qite lo había llevado y servido á SS. MM. En seguida el señor Ministro Plenipot enciario , sentado en uno de los taburetes que había cerca de la mesa de la 'izquierda dél dosel, firmo en segunda coltímná ál frente de la última Persorfa Real. El3 Excmo.Sr. D. Juan Estéban Lozano, de Torres usó del otro tabu rete que le estaba destinado pa…</t>
  </si>
  <si>
    <t>Plenipoten, Ministro</t>
  </si>
  <si>
    <t>Ministro Plenipoten</t>
  </si>
  <si>
    <t>…ares; el marques de Albuderte, y el conde de Puñonrostro.. A la izquierda del dosel había una mesa cubierta y dos taburetes rasos, uno de ellos para que á su tiempo se sentase el: señor Ministro Plenipoten ciario á firmar las capitulaciones. Puesto en pie á la derecha de esta mesa el Excmo. Sr. D. Juan Estéban Lozano de Torres, caballero gran cruz de la Real distinguida orden de Cárlos nr , consejero de Estado, secretario de Es¡tado y del Despacho universal de…</t>
  </si>
  <si>
    <t>Plenipotenciario, Ministro</t>
  </si>
  <si>
    <t>Ministro Plenipotenciario</t>
  </si>
  <si>
    <t>…, de Torres usó del otro tabu rete que le estaba destinado para firmar lá escritura Como notario publico, y después legalizó-'uno dé los dos: ejemplares originales, que entregó ál señor Ministro Plenipotenciario para que lo remitiese a su corte. L Concluido el acto se restituyeron SS; MM. y AA. SS. con el mismo acom pañamiento de gefes y grandes; habiendo sido muy numerosa y lucida la con currencia de personas distinguidas, asi de. la Real servidumbre, como del Egéfc…</t>
  </si>
  <si>
    <t>Pliego, Juan</t>
  </si>
  <si>
    <t>Juan Pliego</t>
  </si>
  <si>
    <t>…ría rechacé á los que atrevidos lo intentaron. A pocos momentos que V. S. vio la tenacidad del fuego enemigo, mandó V. S. reforzar mi puesto con 20 infantes de Toluca al mando del capitán D. Juan Pliego, quien me ayudaba con la actividad que le es propia. V. S. que á cada instante se hallaba presente dirigiéndonos, observada la fuerza de los rebeldes, y que aun todavía se hallaban en el for tín de S. Antonio y en las inmediaciones ocupando las azoteas, mandó…</t>
  </si>
  <si>
    <t>Poelfi, Antonio</t>
  </si>
  <si>
    <t>Antonio Poelfi</t>
  </si>
  <si>
    <t>…donde muerbn diariamente de 100 á 1.50 perso nas. Con este motivo se ha establecido una rigurosa cuarentena en todas las costas del Adriático. Hoy ha salido de aquí para Vierta el conde Antonio Poelfi, segundo con sejero de la legación de Austria en esta corte. Se sabe que va á ser promovi do á otro destino, aunque se ignora cual sea. \ Con la noticia que se tiene de que este invierno concurrirán aquí muchos extrangeros, se han encarecido en tanto grado la…</t>
  </si>
  <si>
    <t>Poey, Juan</t>
  </si>
  <si>
    <t>Juan Poey</t>
  </si>
  <si>
    <t>…usando admiración la perfección de elfos en él coarto tiempo que asisten á esta clase de enseñanza, particularmente ei cuadro de Hipólito y Fedra ege— cutado por el alumno interno D. Juan Poey, y 4a cabeza de Rómulo en gran tamaño por ei de igual clase D. Gárlos Espinóla. Siguióse á esto un completo y lucido egercrció de gramática, prosodia y ortografía castellana, con K&gt; cual se terminó la sesión del primer aia, que me reció infinitos parabienes y…</t>
  </si>
  <si>
    <t>Poey, Luis</t>
  </si>
  <si>
    <t>Luis Poey</t>
  </si>
  <si>
    <t>…e? premios, lo* qué en el acto fueron distribuidos en esta forma. Matemáticas: á Dr Carlos Es pinóla , y á D. Juan Poey el accessit. Lengua francesa ¡ á D. Giabricl Orbegozo , y á D. Luis Poey el accessit. Crramdtica castellana: á D. Joscf Ma ría Agu'irre, yá D. Manuel Jane el accessit.Dibitjo: á D. Juan Poey, y i D. Carlos Espinóla el áctessil. Escritura .* á í). Josef Manuel César ,y á Don Guillermo Larraganel accessit. Lectura : á D. Victoriano…</t>
  </si>
  <si>
    <t>Polanco, Ana</t>
  </si>
  <si>
    <t>Ana Polanco</t>
  </si>
  <si>
    <t>…r el patronato y sus dere chos; debiéndolo hacer antes dei 26 del corriente, pues de lo contrarío pasará el P. prior á realizar una de las cláusulas dei testamento de la fundadora Doña Ana Polanco. Se halla vacante en la villa de Osuna una escuela de primeras letras, dotada en 200 ducados y casa, y con la obligación de enseñar gratuitamente á los pobres de solemnidad; y debiéndose dar por oposición, se hace saber para que los aspirantes á ella dirijan…</t>
  </si>
  <si>
    <t>Polignac, Julio de</t>
  </si>
  <si>
    <t>Julio de Polignac</t>
  </si>
  <si>
    <t>…rado sus errores , y. ha sido bautizado en la iglesia de-S. Sulpicio,un judío de 19 años, quien durante la ceremonia derramó abundantes jrágrimaSjd^^térppr^. Hani «ido padrinos el conde Julio de Polignac , par dePVáhcia, y su”esposad . . . - ' El bergantín ruso el Rurtk, al mando del teniente Kotzebue, que ha es</t>
  </si>
  <si>
    <t>Polledo, Josef</t>
  </si>
  <si>
    <t>Josef Polledo</t>
  </si>
  <si>
    <t>…Don Josef Colomer y D. Pedro Salvador de Pazos, subtenientes D. Manuel San* chezTreviño y D. Justo Zaldivar. Del primero Americano: teniente coronel graduado D. Cristóbal Tenorio, capitán D. Josef Polledo, teniente D. Patri cio Ange y D. Miguel Tejeiro , subtenientes D.'Juan Perez y D. Juan Josef Reviila. De la Corona : teniente D. Ignacio Valiente. De Frontera: teniente coronel graduado D. Josef María Novoa , teniente D. Josef María Gutiérrez, " . Felipe Guil…</t>
  </si>
  <si>
    <t>Polledo, Ramón de</t>
  </si>
  <si>
    <t>Ramón de Polledo</t>
  </si>
  <si>
    <t>…uy acreedor; dignándose también mandar expedir sus Reales despachos de los grados inmediatos que les he concedido interinamente en esta fecha al capitán D. Josef Alvar Gon zález y teniente D. Ramón de Polledo, del regimiento de Asturias; á los te nientes del de Castilla D Antonio Casariego y D. Domingo López, y al subteniente del mismo D. Juan Sánchez; al de igual clase del Real cuerpo de artillería D. Josef Obeira , y al sargento primero de Asturias D. JosefPoo y…</t>
  </si>
  <si>
    <t>Pomarés, Francisco</t>
  </si>
  <si>
    <t>Francisco Pomarés</t>
  </si>
  <si>
    <t>…al en seis pliegos de marquida, con una or la que contiene 32 láminas que representan los sucesos mas memorables ocurridos du rante la ultima guerra en España y en Roma, hecho por D. Francisco Pomarés» presbítero español residente en. Roma. Para la formación de este mapa ha tenido pre sente su autor todos los que de estos reinos se han publicado hasta ahora, y varias memorias, viages y* observaciones astronómicas; y para que fuese de mayor y. mas general u…</t>
  </si>
  <si>
    <t>Ponce, Antonio</t>
  </si>
  <si>
    <t>Antonio Ponce</t>
  </si>
  <si>
    <t>…el expresado señor juez por la escribanía de Cámara de la Sala, del cargo de D. Miguel Calvo García, en donde se les facilitarán las noticias que pidan. Se cita, llama y emplaza á D. Antonio Ponce, D. Manuel Oso rio, y demas que se juzguen interesados en nueve vales Reales, reclamados por el deán y cabildo de la santa iglesia de Zamora , á saber: los ocho de 150 pesos creación de 1.° de Ene* rodé 1808, con los núms. 266420, 270338, 292405,293435,293437…</t>
  </si>
  <si>
    <t>…, 11 mrs. y medio de capital. Quien quisiere hacer postura acuda á la escribanía del número de Don Juan Raya. ' Se cita &gt; llama y emplaza por segundo y último término de 20 días á D. Antonio Ponce, D. Manuel Osorio y demas interesados en ocho vales Reales de 150 pesos que se han reclamado de la creación de r.° de Enero de 1808, con Jos números 266420, 276338, 292405, 293435, 293437, 306056, 334717 y 336112, en dosados últimamente en D. Melchor García,…</t>
  </si>
  <si>
    <t>Ponce, Francisco Cavaleri y</t>
  </si>
  <si>
    <t>Francisco Cavaleri y Ponce</t>
  </si>
  <si>
    <t>88</t>
  </si>
  <si>
    <t>…s de la sociedad, una diputación del limo, ayuntamiento, las principales autoridades civiles y militares, y un numeroso concurso de sugetos de todas clases, el director del cuerpo D. Francisco Cavaleri y Ponce, leyó un elocuente discurso inaugu ral, después del cual se presentaron los discípulos de la cátedra de letras hu manas, bajo la dirección del profesor D. Félix Josef Reinoso; y habiendo dado pruebas de su instrucción, y recibido los mas sobresalientes el pre…</t>
  </si>
  <si>
    <t>Ponce, Josef</t>
  </si>
  <si>
    <t>Josef Ponce</t>
  </si>
  <si>
    <t>…y portas D. Josef Ignacio Ximenez y D. Pedro Alarcon. Fieles del Potosí: capitán graduado D. Mariano Guardiola. Realistas de Apan: capitán D. Joa quín Espinosa y D. Antonio Ortiz, teniente D. Josef Ponce y alférez Don Rafael Salinas. „ También recomiendo á V. S. muy particularmente á mis ayudantes capitán graduado D. Manuel Fernandez Peredo y teniente D. Francisco Santelices, del regimiento de dragones de Moneada , y capitán graduado D. Ma nuel Rodríguez, de…</t>
  </si>
  <si>
    <t>Pons</t>
  </si>
  <si>
    <t>…aá pueda hacer que se obedezcan sus decretos y deliberaciones en caso que al guno de los Estados lo repugnase. FRANCIA. París 14 de Febrero. El 26 de Diciembre último descubrió el Sr. Pons, en Marsella, un nuevo cometa situado en la constelación del cisne. Los astrónomos de París reci bieron el aviso el dia 21 de Eneró; pero no les ha sido posible verlo: la pre sencia de la luna sobre el horizonte, las nubes y la lluvia han concurrido á que sus…</t>
  </si>
  <si>
    <t>Pont, Alfonso de</t>
  </si>
  <si>
    <t>Alfonso de Pont</t>
  </si>
  <si>
    <t>…ntilhombre del Emperador, de Austria; el príncipe de Latour-Ííaxis 5 los coroneles.Klausewitz y Block; lord Eduardo Cbichester; el conde Belfast; la; princesa de; Latour-Taxis; el barón Alfonso de Pont, gentilhombre del Emperador de Austria; los tenientes generaíes Boyer, Muffling, Knesebeck y Thielman; el general Czernicheff, ayudante del Empera-* dor de Rusia; el general LewaschofF, ayudante del mismo Soberano; Mn Byland, general al servicio de los Países…</t>
  </si>
  <si>
    <t>Ponte, Esteban de</t>
  </si>
  <si>
    <t>Esteban de Ponte</t>
  </si>
  <si>
    <t>…driz. 1, D. Juan Josef Rivas y Pacheco 2, D. Lorenzo Lasa 8, D. Fernando Solórzano 10, tÍ), Pedro Goitzalez/.i A J), JosefrtMaríf Monserrafe^D* Josef, María Mu A Josef Ramo» ro 2, D. Esteban de Ponte í^anciscq^Sosajarrera j Zúlüeta i, 13. Miguel Salzaineridf5’,* D. Bernardo Butragueño 3, D. Bemarr?</t>
  </si>
  <si>
    <t>Pontejos, María Ana de Sexma y</t>
  </si>
  <si>
    <t>María Ana de Sexma y Pontejos</t>
  </si>
  <si>
    <t>…s., ni emplazarles, se procederá á lo que haya lugar, y les parará entero perjuicio. Siendo preciso y urgente practicar una diligencia interesante .á los legatarios vita licios de Doña María Ana de Sexma y Pontejos, se servirán presentar con sus cor-, respondientes fes de vida á D., Bernardo Asenjo, agente de negocios, que vive pla zuela del Clavel, junto á S. Martin, núm. 6, cuarto segundo, casa denominada de aposento, como apoderado general del Excmo. Sr. D. Francisco…</t>
  </si>
  <si>
    <t>Ponz, Felipe</t>
  </si>
  <si>
    <t>Felipe Ponz</t>
  </si>
  <si>
    <t>…costa del Norte. El teniente coronel graduado D. Josef Andrés de Jáuregui, capitán graduado D. Antonio Chirinos, subteniente D. Pedro Díaz "Villa, sargentos primeros distinguidos D. Felipe Ponz y D. Francisco Loide, sargento primero Juan Josef Ramos* ídem segundos Josef de Sosa y Pedro de la Parra, cabos primeros Josef Ig-r dichonació Humada, Justo Reyes y Dionisio Chirinos._Agregados d cuerpo. El teniente de caballería de Frontera D. Josef Ignacio Oyarvide y</t>
  </si>
  <si>
    <t>Portell, Josef</t>
  </si>
  <si>
    <t>Josef Portell</t>
  </si>
  <si>
    <t>…rica y poesía á sus discípulos, bajo la protección del limo. Sr. D. Fr. Raimundo Strauch , dignísimo obispo de Vich. Presidió los egercicios el M. I. Sr. arcipreste de dicha villa D. Josef Portell, siendo muy grande el concurso de sugetos instruidos que asistieron de los lugares vecinos, hasta de Vich y Manresa. Recitaron en sus respectivos actos D. Jaime Serarols una oración latina en defensa de la enseñanza pública; D. Francisco Vintró un poema latin…</t>
  </si>
  <si>
    <t>Portillo, Alejandro</t>
  </si>
  <si>
    <t>Alejandro Portillo</t>
  </si>
  <si>
    <t>…, Y ícente Ximeno, Eugenio Carazo, Sebastian Andrés, Lean dro Velazquez, Manuel Lechuga, Pedro Recio, Mariano Arranz, Domingo Blanco, Alejandro Rozas, Juan García, Matías Ximeno y D. Alejandro Portillo. Estos; premios consistían en dinero metálico, zapatos, cortaplumas y pa ñuelos, que sé dignaron conceder algunos señores del pueblo; después de lo cual se dio íiñ al acto, habiendo quedado sumamente satisfechos todos los cir cunstante^ g quienes dieron graci…</t>
  </si>
  <si>
    <t>Portillo, Mariano Gil</t>
  </si>
  <si>
    <t>Mariano Gil Portillo</t>
  </si>
  <si>
    <t>…se vio por la junta que no podían menos de declararse com prendidos en el derecho al primér premio los opositores D. Antonio Tenllado Henriquez, D. Mariano Josef González Crespo, D. Mariano Gil Portillo y D. Félix de Federico; y para el segundo premio los restantes discípulos. En este caso se resolvió por los censores que tanto los unos como los otros sortea sen entre sí el premio que á cada división correspondía, y realizado con efec to esto, tocaron el premio primero á D. Marian…</t>
  </si>
  <si>
    <t>Portillo, Miguel</t>
  </si>
  <si>
    <t>Miguel Portillo</t>
  </si>
  <si>
    <t>…Martínez 5, D. Pedro Aguerrebere 5, D. Domingo Segura 5 , Don Bartolomé Echenique 5 , D. Toribio Espinosa 20, D. Juan Plá 5 , D. Lo renzo Treillan- 5 , D. 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t>
  </si>
  <si>
    <t>Portugal, Tomas Antonio de Villa Nova</t>
  </si>
  <si>
    <t>Tomas Antonio de Villa Nova Portugal</t>
  </si>
  <si>
    <t>…y en que debía cele brarse la proclamación. Acompañaban á S. M. los grandes de la corte y títu los , todos descubiertos; los ooispos; los oñciales de casa Real; el Excelen tísimo Sr. D. Tomas Antonio de Villa Nova Portugal, ministro y secreta rio de Estado; el Excmo. conde de Viana , y junto á él el Excmo. y Re verendísimo obispo capellán mayor. Inmediato al conde de Viana iba el Excelentísimo conde de Barbucena haciendo de alférez mayor con la bandera Real arrollada , y despué…</t>
  </si>
  <si>
    <t>Posse</t>
  </si>
  <si>
    <t>…l, y gefe del estado mayor de la escuadra, y del consejero de Estado conde Moerner. El Rey lleva en su comitiva al conde Brahe y al barón Koskull, y el Príncipe Real en la suya al conde Posse. En su vi age atravesarán S. M. y A. R. la Westro-Gothia para ver el nuevo canal que se está construyendo allí; pero no irán ahora á Gothemburgo, dejando, según se dice, para su regreso la ida á dicha ciudad, que es la segunda de la monarquía. Entonces llegar…</t>
  </si>
  <si>
    <t>Postelli, Dv Juan</t>
  </si>
  <si>
    <t>Dv Juan Postelli</t>
  </si>
  <si>
    <t>…n la provincia de Guanajuato» Primera sección : regimiento de infantería de Zaragoza: el teniente coro nel D- Manuel Factor, el comandante del primer batallón D- Gabriel Rivas, él capitán Dv Juan Postelli, el teniente D. Melchor Melcolalde y los subte nientes D. Ramón Canardo y D. Manuel Fernandez Parrado, muertos 1 el ca pitán E&gt;. Manuel Berdiales , el ayudante mayor D. Pedro María Hgarte, et segundo ayudante D. Miguel Francisco Soler , los tenientes IX Franc…</t>
  </si>
  <si>
    <t>Pototski, Severin</t>
  </si>
  <si>
    <t>Severin Pototski</t>
  </si>
  <si>
    <t>…anto au tónomas como de los antiguos Reyes del Bosforo, de las cuales algunas p,er* sonas curiosas conservan colecciones. Entre ellas merecen mencionarse la del Excmo. Sr. senador conde Severin Pototski, conocido por sus conocimientos en las antigüedades, y la de Mr. Blaremberg , inspector ¡general de las aduanas de. Odessa, en Cuy o monetario se ve una serie sumamente, preciosa de las me dallas; mas raras del antiguo Olviá ó 01viópHQl¡$;yqtie últimamente ac…</t>
  </si>
  <si>
    <t>Powell</t>
  </si>
  <si>
    <t>…it. GRAN BRETAÑA. Londres 3 de Octubre. Parece que aun los buques ingleses están expuestos á los ataques de esos piratas que toman el nombre de corsarios insurgentes. El Britania, capitán Powell, que llegó hace ocho dias á Greenock, procedente de la Jamaica y' 4e Guba, estuvo para ser apresado al salir de esta última isla por una goleta insurgente, cuyo comandante alegaba por pretexto que el Britania tenia á bordo un cargamento perteneciente á españo…</t>
  </si>
  <si>
    <t>Poyanos, Mariano Lafuente y</t>
  </si>
  <si>
    <t>Mariano Lafuente y Poyanos</t>
  </si>
  <si>
    <t>…cordarlo asi, como también nombrar por emplea dos de dicho juzgado privativo á los sugetos que propone; y son D. Fran cisco Xavier Adell, consejero de Ordenes, para asesor; el Dr. D. Mariano Lafuente y Poyanos, agente fiscal del Consejo de Castilla, para promotor fiscal; D. Ramón Lorenzo Calvo» escribano de Cámara dei Consejo deGjuer-</t>
  </si>
  <si>
    <t>Pozo, Alfonso del</t>
  </si>
  <si>
    <t>Alfonso del Pozo</t>
  </si>
  <si>
    <t>…ación de este, acudan por sí ó procurador con poder bastante á deducirle en el juzgado de dichas Reales caballerizas, y escribanía de las mismas al cargo del infrascrito escribano D. Alfonso del Pozo; apercibidos que pasado dicho término sin haber comparecido se procederá á lo que haya lugar, y les parará perjuicio, sin mas citarles ni emplazarles. Se vende un molino de chocolate, tasado en 7056 rs. vn. Quien quisiere hacer postura acuda ante el Sr. D. An…</t>
  </si>
  <si>
    <t>…mbre del año próximo pasado del Señor D. Francisco Xavier de Ojeda, del Consejo de S. M. en el supremo de Hacienda, juez asesor general de la Real Casa y Patrimonio, refrendada de D. Alfonso del Pozo, escribano de S. M., sus Reales caballerizas, ballestería y demas ramos agre ga ios, se anunció al público por medio del diario de 19 y gaceta del 20 de dicho mes la venta de una casa sita en esta corte y su calle de la Cabeza, distinguida coa el num. 20 de l…</t>
  </si>
  <si>
    <t>…rovidencia de 7 del corriente del Sr. D.Francisco Xavier- de O/eda, del Consejo de S. M. en el supremo de Hacienda, juez asesor general de la Real casa y patrimonio, refrendada de D. Alfonso del Pozo, escribano de Reales caballerizas 7, demás ramos agregados., se ha señalado el viernes 20 del que rige á las 10 de su mañana en la casa y calle de la Cruzada, cuarto principal, donde se halla el tribu nal de dicho Real patrimonio, para la junta.de acreedores…</t>
  </si>
  <si>
    <t>…eales caballerizas, para que dentro del término de 30 dias, contados del de este anuncio, acudan ante dicho Sr. Ojeda, y escribanía de las mismas Reales caballerizas , ai cargo de D. Alfonso del Pozo, por sí ó por medio de procurador con poder bastante, á decir y exponer de su derecho y justicia, la que se les administrará en lo que la tuvieren; prevenidos que trascurrido dicho término sin haberlo hecho les parará el perjuicio que haya lugar. El P. prior…</t>
  </si>
  <si>
    <t>Ppdró</t>
  </si>
  <si>
    <t>…la, y procurador de los RealeslConsejos^á lacualjirn com parecido varios acreedores; y á instancia cte M^rtm Pabio Bazó^^ Tbañei í yeciíio dé Laguna de Cameros, heredero de dicho ;D. Ppdró , y én Virtud de, providenciá del referido señor jfciez , se ha mandado conypcar á junfá getieraf a los éjtj&gt;res‘ád!os aeree’&lt;¿9íé5 comparecidos hasta eí dia Vú la. insinuada fá&amp;Métitiatía * y démaV ignorados^</t>
  </si>
  <si>
    <t>Prado, Manuel Saenz del</t>
  </si>
  <si>
    <t>Manuel Saenz del Prado</t>
  </si>
  <si>
    <t>…del número D. Tomas María Manrique, se cita, llanta y emplaza por término de 15 dias, que por segundo se les concede desde el de su anuncio en la gaceta y diario de esta corte, á D. Manuel Saenz del Prado, D. Lorenzo Fernande^de León, D. Juan Lorenzo Sánchez Cueto, D. Luis Franco, Doña Librada Perez Escovar, D. Joa quín Antonio Román, los Sres. Alzueta y Beratarrechea, D. Rafael Rodríguez, D. Juan de Dios Elias, los Sres. Bohe, hermanos y compañía, D. Mariano…</t>
  </si>
  <si>
    <t>Prado, Tomas de Sancha y</t>
  </si>
  <si>
    <t>Tomas de Sancha y Prado</t>
  </si>
  <si>
    <t>…es y D. Juan Suarez al juzgado del Sr. D. Joaquín Almszan y Ximeno, del Consejo de S. M., teniente primero de corregidor de esta muy heroica villa, por la escribanía del número de D. Tomas de Sancha y Prado, en solicitud de.que se les declare'por herederos de su padre; y S. S., por auto de 21 del pasado, ha tenido 4 bi¿n mandar se convoque por edictos á cualesquiera personas ó comuni dades que se crean con derecho! los bienes del enunciado D. Domingo Suarez, pa…</t>
  </si>
  <si>
    <t>…nero de 1809, señalado con el núm. 365046, que de órderi del Gobierno se halla detenido por pertenecer al Estado, á fin de que acudan ante S. S., y por la escribanía del número de D. Tomas de Sancha y Prado, á deducir su derecho; con apercibimiento de que pasado dicho término sin haberse presentado, $e proveerá en justicia acerca de la reclamación pendiente, y les parará el perjuicio que haya lugar. En virtud de providencia del Sr. D. Joaquín de Almazan, tenient…</t>
  </si>
  <si>
    <t>…Por providencia del Sr. D. Angel Fernandez de los Ríos, del Consejo de S. M., teniente primero de Corregidor de esta muy heroica villa, en cuyo juzgado y escri banía de numero de D. Tomas de Sancha y Prado se siguen los autos de testamen taría del Sr. D. Diego López Perella; y en conformidad de lo acordado por su» acreedores, se subastan por término de 20 dias, que finalizarán el 26 del presenté mes, y es el señalado para su remate á las 12 en la audiencia de S…</t>
  </si>
  <si>
    <t>Pranton</t>
  </si>
  <si>
    <t>…istancia déPonah, dondedos/máratas fueron vencidos , pero no desalentados ^puesnelvii^ hubo otra accioñ reñida no lejos de Ponah. En una yotra batalla se dorxamó mucha sangre: te! capitán Pranton , del regimiento europeo de Bombay, fue gravemente he rido, como también el teniente FalcoW'er, del regimiento de infantería nació-* nal de Bombay. Dos hermanos llamados Vaughan, que quedaron prisioneros en la primera acción, fueron conducidos á fPonah y arca…</t>
  </si>
  <si>
    <t>Prat, Félix</t>
  </si>
  <si>
    <t>Félix Prat</t>
  </si>
  <si>
    <t>…'Dábaii, segundo comandante general del cordon; teniente coronel j&gt;. Francisco Daban, capi tán agregado al regimiento infantería de Galicia. Del distrito de la izquierda. ' \ . El brigadier D. Félix Prat, coronel, comandante del batallen segundo lbferoX JuanprimeroPrat,deayudanteCataluña;,fdel segundocordon. comandante general del cordóni . ; " cadete Notar Lá línea del cordón se halla dividida en dos mitades, y estas en tres distritos-, mandados lós de la de…</t>
  </si>
  <si>
    <t>…gento, 3 cabos y ij6 soldados. De reten: 2 subalternos, f sargentos, 27 soldados de infantesiría, y 32 de caballería del tercer escuadrón de Santiago. Comandante de este cantón él brigadier D. Félix Prat: su residencia en S. Roque. 2.0 Cantón. Algeciras. Su extensión desde Palmones hasta Gualmesí. Puntos de ocupación militar que abraza, y fuerza que debe cubrirle. Torre del Almirante: 1 subalterno, 1 sargento, 3 cabos y 16 soldados del regimiento de infanterí…</t>
  </si>
  <si>
    <t>Presidente</t>
  </si>
  <si>
    <t>47&lt;* Cotí motivo del ascenso d¿ Dóñat Elisa Gartierm enqel globo, se avisa . nuevamente al publico que eí Excmo. Sr. Presidente delÍEonsejo -de^ Castilla tuvo la bondad de circular la noticia de este experimentó á la distancia de io ó 12 leguas de esta capital, comunicándola á las diversas autoridades con el fin de que en el parage donde caiga éf globo’ se tomenntodas las medidas opor…</t>
  </si>
  <si>
    <t>Prie, Ignacio</t>
  </si>
  <si>
    <t>Ignacio Prie</t>
  </si>
  <si>
    <t>…mera y segunda del primer escuadrón del Sur con los ofi ciales de los primeros teniente D. Josef María Yañez, y alféreces D. Felipe Flores y D. Ramón de la Cruz; y de los segundos teniente D. Ignacio Prie to, y alféreces D. Ignacio Narvaez y D. Agustín Mora, con cuya fuerza me dirigí por el rumbo de Zimatepec, acampando en las lomas del Capire» El 16 por la mañana emprendí mi marcha, arreglándome á las instrucciones de vmd., y á las tres de la tarde formó mi c…</t>
  </si>
  <si>
    <t>Prieto, Ignacio</t>
  </si>
  <si>
    <t>Ignacio Prieto</t>
  </si>
  <si>
    <t>…os parapetos, y verse dentro de ellos impidiendo á los rebeldes hacer uso de sus armas , sirviéndoles de mayor confusión el que á este mismo tiem po el teniente de dragones fieles D. Ignacio Prieto, que con 30 hombres de su.cuerpo se hallaba desde la madrugada de este dia emboscado detrás del fortin del cerro por disposición del insinuado comandante D. Manuel* Gómez, en el momento que observó que mi tropa avanzaba egecutó lo mismo con la suya, cortándol…</t>
  </si>
  <si>
    <t>Pruna, Josef</t>
  </si>
  <si>
    <t>Josef Pruna</t>
  </si>
  <si>
    <t>…stenía á los que buscaban asilo : asi logrp dicho capitán y el teniente Vázquez con D. Ignacio Basadré reunir la mayor parte de los dragones , ayudando con valentía el distinguido D. Josef Pruna , á quien á su petición le di un fusil para el efectos „ A las 5 de la mañana se empeñaba Mina y sus secuaces en su fuego* apoderándose de las casas y corrales inmediatos á las calles para asaltar im provisamente; pero entonces, valiéndome de las precauciones…</t>
  </si>
  <si>
    <t>Puenle, Cayetano de Ramos</t>
  </si>
  <si>
    <t>Cayetano de Ramos Puenle</t>
  </si>
  <si>
    <t>…con que procuran su mejora y perfección, los 160 para el primero, y los otros 160 para distri buirlos proporclonalmente en los oficiales á medida del mérito de cada uno: 320 rs. á D. Cayetano de Ramos Puenle, que dedicó á la sociedad varios escritos suyos adornados con viñetas en todo conformes al célebre calígrafo D. Torcuata Torio de la Riva : 160 rs. á Juan Ventura Cabeza, vecino de la parroquia de Caleao, concejo de Paso, por haber presentado tin violin tra b…</t>
  </si>
  <si>
    <t>Puente, Josef de</t>
  </si>
  <si>
    <t>Josef de Puente</t>
  </si>
  <si>
    <t>…scribir; á D. Pablo de Argote por aritmética; á D. Julián Gamarra por ortografía y gramática castellana; á D. Venancio de $agarnaga y Don Faustino ae Ampuaia por buena conducta; á D. Josef de Puente en la clase de menores y demas rudimentos; á D. Juan Guzman en la de medianos, y á Don Liborio ae Otazu, por haber salido en suerte con otros, por la aplicación y Jbuena conducta, con lo cual se concluyo el acto; habiendo'dado el alcalde que presidio las mas…</t>
  </si>
  <si>
    <t>Puente, Josef María</t>
  </si>
  <si>
    <t>Josef María Puente</t>
  </si>
  <si>
    <t>…s costumbre fue conducido al Real monasterio de S. Lorenzo. Hizo de prelado en esta función el limo. Sr. obispo de Lorima, auxiliar de Madrid: asistió como alcalde de Casa y Corte D. Josef María Puente; y acompañó, de orden de S. M. , al Excmo. Sr. marques de Cilleruelo, encargado del Real cadáver, el Sr. conde de Cas tañeda de los Lamos, Secretario interino de Estado y de Gobierno del Con sejo de Estado, notario de los reinos, para dar fe de los actos que…</t>
  </si>
  <si>
    <t>Puertas, Fernando</t>
  </si>
  <si>
    <t>Fernando Puertas</t>
  </si>
  <si>
    <t>…l capitán D. Manuel Linares herido de gravedad. Segunda sección: bata llón ligero voluntarios de Navarra: el teniente D. Josef María Fierto y el ca dete D. Juan Paule, muertos: el capitán D. Fernando Puertas y el subte niente D. Miguel Culebras, heridos de gravedad; y el ayudante segundo Don Josef Ures herido. Regimiento Provincial de Toluca: el capitán graduado D. Mariano Molina muerto; y en la división auxiliar de Nueva-Galicia ha sido herido el ayudante del co…</t>
  </si>
  <si>
    <t>Pueyó, Rafael</t>
  </si>
  <si>
    <t>Rafael Pueyó</t>
  </si>
  <si>
    <t>…os en t8o8 , y endosados á favor de D. Melchor Villanueva, Iqs cuales en Octubre de 18 so quedaron en Zaragoza en poder del Go bierno intruso, se servirá, avisarlo en é&amp;ta córte á D. Rafael Pueyó, présbíteroV^üé vive en los portales de S,. Isidro, num. 12 ; en Zaragoza á D. Pedro Lasala, y en F*agá de Aragón al expresado pV Melchor Yillanuevá. Está vacante él partido de médico de Montenegro de Cameros, cuya dotación son 6&amp;rsr-vn. anuales, cobraáps y p…</t>
  </si>
  <si>
    <t>Pujadas, Josef</t>
  </si>
  <si>
    <t>Josef Pujadas</t>
  </si>
  <si>
    <t>…a, D Felipe Martínez, D. Florencio Pereira, D. Francisco Pumar y D. Cosme Arias. En cosmogra fía los expresados Martínez, Pumar, Alonso, Pereira, Arias, Veiga, D. Be nito Pereira, D. Josef Pujadas, D. Josef María Loureiro y D. Fermín Galceran. En navegación los referidos Martínez, Pujadas, Loureiro, Pumar y D. Benito Pereira; y en geografía los expresados Martínez, D. Benito y Don Florencio Pereira: habiendo merecido la aplicación de todos y sus adelan…</t>
  </si>
  <si>
    <t>Pujol, Josef</t>
  </si>
  <si>
    <t>Josef Pujol</t>
  </si>
  <si>
    <t>…s dio varias oraciones, cartas, fábulas 8tc. Pedida la ve nia para la poesía con una oda lírica por D. Francisco Oms, colegial, pronun ciado un trozo de la Araucana de Ercilla por D. Josef Pujol, y recitada ade mas una égloga de Virgilio, tradujeron algunas fábulas de Fedro, las églogas y parte de la Eneida de Virgilio, algo de Ovidio, y de las odas de Horacio, midiendo sus versos en el lugar que se les mandó: compusieron por fin dife rentes versos á…</t>
  </si>
  <si>
    <t>Pumar, Francisco</t>
  </si>
  <si>
    <t>Francisco Pumar</t>
  </si>
  <si>
    <t>…y Rey, Don Josef Alonso y D. Josef Vicente Veiga. En trigonometría esférica los mismos Alonso, Veiga, Riberos, Rey, D. Joaquín Clavareza, D Felipe Martínez, D. Florencio Pereira, D. Francisco Pumar y D. Cosme Arias. En cosmogra fía los expresados Martínez, Pumar, Alonso, Pereira, Arias, Veiga, D. Be nito Pereira, D. Josef Pujadas, D. Josef María Loureiro y D. Fermín Galceran. En navegación los referidos Martínez, Pujadas, Loureiro, Pumar y D. Benito Pereira; y en geogra…</t>
  </si>
  <si>
    <t>Qorrochótegui, Fermín</t>
  </si>
  <si>
    <t>Fermín Qorrochótegui</t>
  </si>
  <si>
    <t>…ázaro Muñoz y Manuel del Rosario; idem segundo Rafael Nolasco.; cabos prime ros Dionisio Mar 6 Isidoro Malerva; ídem segundo Tosef Antonio? frny Compañías de fieles.re alistas. El capitán D. Fermín Qorrochótegui, de la de Tenapachi; el capitán, graduado D. Manuel Manso., de ,la: de Tántoyuca; teniente D. Ramón Quirós, de la de Tantima; subteniente D. Rafael Contreras, de la de Tuxpan; idem D. Josef Joaquín Cowley, de la de Papantia. Campamento en el pueblo nuevo de T…</t>
  </si>
  <si>
    <t>Que-, Juan Nepomuceno</t>
  </si>
  <si>
    <t>Juan Nepomuceno Que-</t>
  </si>
  <si>
    <t>…milicias Pardos de Valencia D. Josef Pereira, que af frente de su cuerpo cargó con la mayor intrepidez al enemigo hasta ser herí-1 do: al comandante del batallón Pardos de Carácas D. Juan Nepomuceno Que-» ro, que casualmente se halló en la acción con 18 soldados de su cuerpo, y con los que cargó al enemigo con tanto denuedo, que perdió' cinco hombres:al capitán ayudante mayor de Valencia D; Josef de* las Báreenas, que ha-' biendo recaído el mando en él, atacó…</t>
  </si>
  <si>
    <t>Quero, Josef María</t>
  </si>
  <si>
    <t>Josef María Quero</t>
  </si>
  <si>
    <t>…tacaron la plaza de S. Fernando de Apure , en las provincias de Venezuela. La guarnición se componía de 650 hombres, al mandó del capi tán del regimiento de infantería de Numancia D. Josef María Quero. Los re beldes-la sitiaron por agua y tierra', embistiéndola por todas partes con el fuego mas horroroso. Heridos algunos oficiales y soldados, y atravesado Quero de dos balazos se hacia conducir á las filas animando á su tropa. Ni las ofer tas de premios rev…</t>
  </si>
  <si>
    <t>…uestión , y propuso cuanto creyó conveniente. El Rey, en consecuencia, y conformándose con su parecer, se ha servido resol ver lo siguientes i,° „A1 capitán comandante de la plaza D. Josef María Quero (cuya suer te se ignora), sí existe, le concede S. M. el empleo de teniente coronel de caballería vivo y efectivo con sueldo de tal y eí grado de coronel, la cruz lau reada de la Real y militar orden de S. Fernando, con la pensión vitalicia qué con arreglo al…</t>
  </si>
  <si>
    <t>Quevedo, Juan María</t>
  </si>
  <si>
    <t>Juan María Quevedo</t>
  </si>
  <si>
    <t>…ico, D. Casimiro Herrezuelo, D. Ma riano 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premios expresados, y teniendo en consideración la na turaleza de los objetos que á cada cual se le confió, lo que l…</t>
  </si>
  <si>
    <t>Qui, Juan</t>
  </si>
  <si>
    <t>Juan Qui</t>
  </si>
  <si>
    <t>…r tanto dejo á su justa consideración el ín terescon que debe de recomendar á la superioridad este buen oficial; y contrayéndome al capitán D. Gabriel Suarez y benemérito realista D. Juan Qui lez , diré que el primero queda postrado en una cama, cargado de familia y sin otro recurso que la piedad de un hermano y algunos caritativos vecinos: del segundo, digo que ha dejado cinco criaturas, entre ellas dos doncellas, in hábiles ambas por su edad y s…</t>
  </si>
  <si>
    <t>Quijote</t>
  </si>
  <si>
    <t>…idad. Véndese á 4 rs. en las librerías de Perez, Ranz , Higuera y Miiiutria. rr En las mismas se hallarán la Historia razonada de la revolución de España: Napoleón, ó él Verdadero D. Quijote de la Europa; y la Inquisición justamente restablecida,ó impugnación de los Anales de D. Juan Antonio Llorenté, y del manifiesto que, pliblícaroñ las cortes de Cádiz para justificar la supresión de aquel tribunal. ' ¡ Memoria sobre el cultivo y cosecha del al…</t>
  </si>
  <si>
    <t>Quilez, Juan</t>
  </si>
  <si>
    <t>Juan Quilez</t>
  </si>
  <si>
    <t>…á la provincia deVail&amp;dolid; y no puedo menos, en honor de la justicia, de apoyar la recomendación que hace dicho comandante del teniente Avalos, del capitán Suarez y del realista D. Juan Quilez para las gracias que V. E. tenga por conveniente concederles. Dios guarde á Y. E.. muchos' años. Guadalajara 9 de Abril de 1818. rs Excmo. Sr.bzJosef de la Cruz.=Excmo. Sr. v.irey D. Juan Ruiz def Apodaca.’! Y Parte del captan D, Luis Crespo, \ ,,Excmo. Sr.:…</t>
  </si>
  <si>
    <t>Quintamo, Pedro de Queyedo y</t>
  </si>
  <si>
    <t>Pedro de Queyedo y Quintamo</t>
  </si>
  <si>
    <t>…ho universal de la Guerra: tomo i.°, introducción. Se hallará en la librería de Dáviia, calle de las Carretas, á 26 rs. en rustica. . Oración fúnebre á la buena-memoria del E1110. Sr. D. Pedro de Queyedo y Quintamo, presbítero cardenal de, la Sta. Iglesia de Roma , obispo jde ^Orense, que en las exequias que celebro su familia en la catedral de dicha ciudad? el,dut 15 de. Abril- pe éste presente año dijo el Dr. D. Juan Manuel de Bedoya, canónigo cardenal de di cha santa…</t>
  </si>
  <si>
    <t>Quintana, Joaquín</t>
  </si>
  <si>
    <t>Joaquín Quintana</t>
  </si>
  <si>
    <t>…illa'dé nuestra Señora de Gracia de Madrid, arzobispo de Santiago, santos' lugares de Je-* rusalen, D. Pedro Josef d¡e Beri , vecino dé lá ciudad de; las i Palmas/'eL lvirey Amat, D. Joaquín Quintana y D. Francisco Sierra, de Cádiz-, D¿ Melthor-Pascual Calata-* yud, Doña María Teresa Lisperguer, arciprestazgos del obispado de Sigüenza, orden de'S. Juan, villa de Castel-Dasens, corregimiento de Lérida, D. Luis Calatayud, y conde de Sirat, D. Diego Raimundo Seguí, D.Bernard,ino…</t>
  </si>
  <si>
    <t>Quintana, Ramón de</t>
  </si>
  <si>
    <t>Ramón de Quintana</t>
  </si>
  <si>
    <t>…uede dirigirse á dicho barón de Sta; Bárbara, en Valencia, para'tratar el ne gocio, como de su venta, á dinero en el todo ó parte; y én Madrid ál procuradór de los Reales Consejos D. Ramón de Quintana, que vive calle del Desengaño, núin. 8, cuarto 3.0 Se halla vacante el,partido de médico de la villa de Oropesa, provincia de To ledo, seisjeguas, distanftf de.la de Talavéra de láReina;‘su dotación1800 ducados, págádosd’e los fondos de prbpios , con obligaci…</t>
  </si>
  <si>
    <t>Quintana, Vicente de</t>
  </si>
  <si>
    <t>Vicente de Quintana</t>
  </si>
  <si>
    <t>…escriban y cuenten, reuniéndose de una y otra cíase como 200 ó mas. Los profesores, que han de tener un pasante que no tenga menos de 17 años de edad , dirigirán sus memoriales í D. Vicente de Quintana, procurador síndico de dicha villa, hasta el ultimo de Agosto; en el supuesto de’ que el primer domingo de Setiembre próximo se ha de proveer. Sé halla vacante el partido de médico de la villa de Yuncidlas, distante tres le guas de Toledo y nueve de esta cort…</t>
  </si>
  <si>
    <t>Quintanar</t>
  </si>
  <si>
    <t>…r la jornada de Tárate. También ha dispuesto S. E. que al correo que entregó los pliegos de la ridicula junta se le com pleten hasta 100 pesos sobre los 40 con que le gratificó el Sr. Quintanar, y. que se aclare quien es el sugeto. que fingió la carta del rebelde Hermosillo para darle el premio, que corresponda, publicándose todo en la gaceta para satisfacción de los interesados. Idem 2 de Junio. SAN LUIS DEL POTOSI. Oficio del comandante general br…</t>
  </si>
  <si>
    <t>Quíntañar, D- Luis</t>
  </si>
  <si>
    <t>D- Luis Quíntañar</t>
  </si>
  <si>
    <t>…. comandante general mariscal de campo D. Josej de la Cruz. &gt; „Excmo. Sr. • Paso á manos de V. E. original para su debido superior conocimiento el parte duplicado que me remite el coronel D- Luis Quíntañar (pues el principal fue interceptado por él cabecilla Peña r y degollado el cor reo que le traía. según di parte á la superioridad de V; E. en mi oficio de % del corriente desde el campo de Tlachichilco) de la expedición del capitán de realistas D. Tosef María…</t>
  </si>
  <si>
    <t>Quintanar, Luis</t>
  </si>
  <si>
    <t>Luis Quintanar</t>
  </si>
  <si>
    <t>…d y conducta, siendo de estos el primero quien prendió á Sanmartín. ,,Dios guarde á V. S. muchos años. Hacienda del Refugio Febrero 25 de 1818.=Josef María Vargas. =:Sr. coronel y comandante D. Luis Quintanar." El Exorno. Sr. virey, en vista del parte que antecede, ha mandado que al coronel D. Luis Quintanar se le den las gracias á nombre del Rey nuestro Señor por su actividad y acertadas disposiciones; y ha concedido al. capitán dé realistas D. Josef María Vargas…</t>
  </si>
  <si>
    <t>Quintanilla, Josef</t>
  </si>
  <si>
    <t>Josef Quintanilla</t>
  </si>
  <si>
    <t>…ta, Florez y Samaniego, que según sus clases recibieron D. Be nito de Salas, D. Luis García, D. Juan Pablo Pavón, D. Francisco Javier Morales, D. Josef García, D. Miguel Granados, D. Josef Quintanilla, Don Juan Antunez, D- Juan Bellido, D. Manuel de la Serna , D. Rafael Grana dos, príncipe de la doctrina cristiana, y D. Martin Saenz, de Lebrija: Don Fraiieised1 González y D. Josef Martínez , de Sanlucar de Barrameda : D'. Josef Moreno, D. Manuel Felipe Cab…</t>
  </si>
  <si>
    <t>Quintánó, Antonio</t>
  </si>
  <si>
    <t>Antonio Quintánó</t>
  </si>
  <si>
    <t>…nando vir, y de lós batallones de Castilla y Navarra. - El Excmo. Sr. Secretario de Estado y del Despacho de Marina ha recibi do por extraordinario un oficio del teniente de Navio D. Antonio Quintánó, comandante de la corbeta Diamante , fecho en Cádiz á 28 de Junio próximo pasado, cuyo contenido en extracto es el siguiente: ,, Salió de la Hávana el 6 de Mayo último con el buque de su mando y los bergantines de S. M. Alerta, Realista y Vengador con destino…</t>
  </si>
  <si>
    <t>Quintano, Antonio</t>
  </si>
  <si>
    <t>Antonio Quintano</t>
  </si>
  <si>
    <t>AI teniente cíe uávío D. Antonio Quintano j comandante dé la corbeta Diamante y-del convoy, el empleo de capitán de fragata: al teniente de na vio D. Antonio Josef ílel Campo, comandante del bergantín Alerta, grado de capitán de Fragata: á los tenientes de fragata D. Josef Maestre y Osorno y D. Ignac…</t>
  </si>
  <si>
    <t>Quinto, Agustín de</t>
  </si>
  <si>
    <t>Agustín de Quinto</t>
  </si>
  <si>
    <t>…. Los suscriptores ai curso de agricultura, conforme á los últimos adelantamientos hechos en esta ciencia, y á las mejores prácticas agrarias de las demas naciones de Europa , por D. Agustín de Quinto, acudirán á recoger el tomo i.?, y adelantar él importe del a.6, que se publicará dentro de pocos dias , y sucesivamente el g.°, á la librería de Sojo, calle de las Carretas, en la cual se vende también la cartilla ele mental de agricultura acomodada á nuestr…</t>
  </si>
  <si>
    <t>…. Los suscriptores al curso de Agricultura conforme á los últimos adelanlamien-; tos hechos en esta ciencia y á las mejores prácticas agrarias de las demas naciones de Europa, por D. Agustín de Quinto, acudirán á la librería de Sojo, calle de las Car retas , á recoger el tomo 2.0 y adelantar el importe del g.°, que trata de la moral del labrador, el cual está ya impreso y se publicará inmediatamente. En la misma librería se vende también la cartilla elemen…</t>
  </si>
  <si>
    <t>Quirós, Diego Narciso Herranz y</t>
  </si>
  <si>
    <t>Diego Narciso Herranz y Quirós</t>
  </si>
  <si>
    <t>…so en 1790. Véndese á 2 rs. en papel en el almacén de la imprenta Real. Los suscriptores á la aritmética universal, pura, testamentaria, eclesiástica y co mercial , compuesta por D. Diego Narciso Herranz y Quirós, anunciada en el pros pecto intercalado en la gaceta de 14 de Noviembre último, acudirán á la librería de Gila, calle de las Carretas, á recoget el tomo i.° que contiene la aritmética nu mérica y álgebra, y á anticipar 21 rs. á la rústica y 25 en pasta por el…</t>
  </si>
  <si>
    <t>Quirós, Ramón</t>
  </si>
  <si>
    <t>Ramón Quirós</t>
  </si>
  <si>
    <t>…em segundo Tosef Antonio? frny Compañías de fieles.re alistas. El capitán D. Fermín Qorrochótegui, de la de Tenapachi; el capitán, graduado D. Manuel Manso., de ,la: de Tántoyuca; teniente D. Ramón Quirós, de la de Tantima; subteniente D. Rafael Contreras, de la de Tuxpan; idem D. Josef Joaquín Cowley, de la de Papantia. Campamento en el pueblo nuevo de Tepecintla 30 de Enero de .1818. =r Garlos María Llórente. •" ■ ' "■■.‘I"" 1 ;• &gt; 1 ' y- . Villa de Fuentesp…</t>
  </si>
  <si>
    <t>Quitos, Pedro Suarez</t>
  </si>
  <si>
    <t>Pedro Suarez Quitos</t>
  </si>
  <si>
    <t>…cáritafa al brigadier D. Pascual Senmanat, capitán del primer regimiento de Reales guardias de infantería: la sargentía mayor dé la plaza de Santánder al teniente coronel graduado D. Pedro Suarez Quitos,, capitán del regimiento infantería de la Princesa: la de la plaza de Lima á Don Josef Lanao, capitán del regimiento del Infante D. Carlos, que se halla en aquella plaza: la ayudantía del castillo de la Aljafería de Zaragoza al subte niente D. Fernando Santa…</t>
  </si>
  <si>
    <t>Quitos, Valentín</t>
  </si>
  <si>
    <t>Valentín Quitos</t>
  </si>
  <si>
    <t>…o por el brigadier D. Má** nuel Daban: el segundo por él teniente coronel D. Joséf Mafia Céndrera, co mandante del batallón del regimiento infantería de Valeneiá; y él tercéró por D. Valentín Quitos, que Jó es del escuadrón de caballería Volúiítariqs de España: los de la izquierda, el primero por elcófóñéi vivo D. Josef CasaS, agregado al batallón segundó ligero primero de Cataluña: el segundo por él coronel sargento mayor del campo D. Josef dé Vélasco;…</t>
  </si>
  <si>
    <t>Quüez, Josef María</t>
  </si>
  <si>
    <t>Josef María Quüez</t>
  </si>
  <si>
    <t>…ma iglesia: la canongía doctoral de la de Valladolid de Mechoacan á D. Josef Domingo López de Letona: la de igual clase en la colegiata de nuestra Señora de Gua dalupe de México á D. Josef María Quüez: las cánongías de idioma mexica no en la propia iglesia, á D. Estanislao Segura y á D. Francisco Valladares; y las raciones, también de idioma mexicano, á D. Dímas Maldonado y á D. Josef Alarcon: la canongía lectoral de la santa iglesia catedral de Monterey,…</t>
  </si>
  <si>
    <t>R, Manuel Guillen y</t>
  </si>
  <si>
    <t>Manuel Guillen y R</t>
  </si>
  <si>
    <t>…itad©, puntualidad y eficacia en todo ; al alférez- D. Sebastian Montealvo por iguales circunstanciasal subteniente de Sto. Domingo.D. Pe dro Cortés por las mismas; ai facultativo D. Manuel Guillen y R„ P., cape llán Fr. Francisco Buey o,, que cumplieron respectivamente con sus deberes; siendo dignos) dél aprecio de&lt; V* los., sargentos segundo- de: la, Corona &lt;Anrn ionio Talanconí primer© de la; compañía del mando-del capitan Armijo; jo sef Olivares ^ eV ca…</t>
  </si>
  <si>
    <t>R, Manuel López de</t>
  </si>
  <si>
    <t>Manuel López de R</t>
  </si>
  <si>
    <t>…rvicio y al interes de la salud pública. En virtud de providencia de 3 del corriente del Sr. D. Martin de Gaztañag* del Consejo de S. M., su alcalde de Casa y Corte, refrendada de D. Manuel López de R.¡ ras, escribano de provincia y comisiones, que loes también del juzgado de comandancia de los Reates cuerpos de Artillería e Ingenieros de esta plaza, se cita, llama y emplaza por segundo, último y perentorio término de dos meses, contado» desde el 8 del corr…</t>
  </si>
  <si>
    <t>R, S. de</t>
  </si>
  <si>
    <t>S. de R</t>
  </si>
  <si>
    <t>…e~ra. Fi¡o oih de l:! r~~Iig¡on ~ontra lo:. !&gt;i"tcmas de lOi impíos, dirigida á Ja instrucclOn de L.t ;~1\i:.:n¡Ui1 eswdio;a lJ,!;-a pl ..:sl!rvarla de:: la impiedad: por el M. 1. Sr. D. S. de R ... : un tr',cnD en ,4. 0 a !a rúst:',-a. Se vende á 10 rs. en Madrid en la librería de C~::,U; ~\); I!n S;Hlti&lt;!~:,o ~n la de R;:Y'Romero; en Lugo en la de Fernandez, y en 1"on, I d G ' .... teVeGl_. F a t;;n la t: :lrCla. , EN LA IMPRENTA REAL.</t>
  </si>
  <si>
    <t>Ra</t>
  </si>
  <si>
    <t>…D. Simón Londoño: el alférez de navio D. Pedro Fernando Tavira: los tenientes coroneles D. Juan Josef Campillo y D. Josef Alejandro: los capitanes graduados de tenientes coroneles D. Ra món de Amagada y D. Bartolomé Henriquez: los subtenientes D. Nicolás O ^res y Palafox y D. Ramón González: los subtenientes del Real cuerpo de artillería D. Josef Mogro y D. Santos Caravantes : el coronel de milicias Don Francisco González Palma: el capitán d…</t>
  </si>
  <si>
    <t>…del primer extracto de la de este día á Josefa Cubas, comprendida en el Dos de Mayo de Madrid. ARTICULO I&gt; F. OFICIO. El Rey nuestro Señor se ha servido conceder su Real permiso á D. Ra món de Pedro y Fuster, maestrante de la Real de Valencia, para que pue da usar la condecoración de la flor de Lis con que S. M. Cristianísima se ha dignado honrarle. Habiendo excitado la notoria caridad y zelo por el bien del Estado y ser vicio del Rey nuestr…</t>
  </si>
  <si>
    <t>…arreglo al artículo 2° de la citada circular; y que se publique en la .ga ceta para satisfacción del interesado. 1 Por Real orden de 17 de Abril de i# 17 se concedió privilegio á D. Ra món de Zubia, vecino de Vitoria, para introducir exclusivamente sólo 6 aso ciado, y vender en todas las provincias del reino con exención de derechos los alambiques llamados rectificadores, y demás instrumentos destilatorios de la In vención de Mr. Alegré, de…</t>
  </si>
  <si>
    <t>Ra, Antonio</t>
  </si>
  <si>
    <t>Antonio Ra</t>
  </si>
  <si>
    <t>…juzgado privilegiado , se cita , llama y empla za á todas y cualesquiera personas que se conceptúen con derecho a lov bienes que dados con motivo del fallecimiento abintestato de D. Antonio Ra non de Miró, ca pitán que fue del regimiento de infantería de Reales Guardias Españolas, para que dentro del preciso término de 30 dias, contados desde esta fecha, acudan á dicho juzgado y escribanía del mismo á casgo de D. Román Lorenzo Calvo, que lo es de C…</t>
  </si>
  <si>
    <t>…oidor del consejo de Navarra al supernume rario del mismo tribunal D Josef María Zuaznabar y Francia; los honores del tribunal de 1SL Rora de la Nunciatura apostólica de España á D. Antonio Ra món dé ÚrelTana y A rellano, capellán de Honor de S. M., y de alcalde de Casa y Corte á D* Francisco de Batlle y de Marimon, oidor que fue de la audiencia de Extremadura , y á D. Ramón Macla de Lleopart. Para el corregimiento de Trujillo se ha servido nombrar…</t>
  </si>
  <si>
    <t>Ra, Manuel Marín y</t>
  </si>
  <si>
    <t>Manuel Marín y Ra</t>
  </si>
  <si>
    <t>…; D. Josef Sola y del Castillo ; D. Pedro Villar y Abello \ Don Diego Fernandez Carcelen; D. Antonio Lardin y Pinto; D. Antonio Fer* nandez Carcelen; D. Francisco Osorio y Bernal; D. Manuel Marín y Ra mos; D. Juan López y Martínez, y D. Mariano dé la Vega y Romero. Quien quisiere comprar una casa sita eñ el lugar de Fuencarral, y calle que lia— man dé'Juan Pardo , que tiene de sitio *887^ pies cuadrados superficiales, tasada últimamente en 10657 rs. t y un…</t>
  </si>
  <si>
    <t>Rada, Francisco Lavalette y</t>
  </si>
  <si>
    <t>Francisco Lavalette y Rada</t>
  </si>
  <si>
    <t>…ha servido promover á subtenientes del Real cuerpo de arti llería á los caballeros cadetes del colegio militar de Segovia D. .Antonio Ter-^ jrero y Díaz; D. Mariano Salas y Azara; D. Francisco Lavalette y Rada; D. Rafael Suarez y Ceuti; D. Josef María Nuñez y Fernandez ; D. Josef Villamil y Uriarte; D. Narciso Ár'espacochaga y Bertendona; D. Josef XJrbina y Daoiz ; D. Josef Sola y del Castillo ; D. Pedro Villar y Abello \ Don Diego Fernandez Carcelen; D. Antonio La…</t>
  </si>
  <si>
    <t>Rado, Estéban</t>
  </si>
  <si>
    <t>Estéban Rado</t>
  </si>
  <si>
    <t>…JNiéves, y el te niente de S. Francisco de Tisnádos con su valiente escuadrón se Excedieron á ¿uantq puede, exagerarse, como igualmente el campo volante del Pao, á las órdenes del teniente Estéban Rado, El teniente de dragones de la Union Don; Behito. Franco,es digno de, toda considerajciqn ppr el egemplo que dio conti nuando en la acción después de herido. El gefe de estado mayor D, Tomas de . Renovales, que ademas de haber penetrado aquella madrugada hast…</t>
  </si>
  <si>
    <t>Radziwill, Antonio de</t>
  </si>
  <si>
    <t>Antonio de Radziwill</t>
  </si>
  <si>
    <t>…de Ja Pieta, los ministros, los consejeros de Estado, y otras muchas personas de distinción* entre las cuales se notaban el teniente feld-mariscal príncipe de Hesse-Homburgo y el príncipe Antonio de Radziwill, gobernador del ducado de Posen.; El Emperador y SS. A A. los grandes duques Nicolás y Miguel brindaron, á la salud de los diputados de la Dieta, y el. presidente de estaj como también el presidente del senado, brindaron en nombre dé la misma ,4 la salud del…</t>
  </si>
  <si>
    <t>Rafaeí</t>
  </si>
  <si>
    <t>…ondiente escritura de fianzas * gastos de factoría y remate, todo á cuenta de dicho comprador; acudirá al comendador procurador maydr D.Tomas dé Valder rábano por la secretaría de Don Rafaeí táartin AntohY secreta rk/del mismo hospital. Se hallan vacántés doá cátedras de latinidad en fá ciudad de Andñjar: la prime ra dotada con 450 ducados i y la otra con 350, y ambas con casa para habitar los profesores. Los sugetós que aspirasen á dichas cátedr…</t>
  </si>
  <si>
    <t>Rafael</t>
  </si>
  <si>
    <t>…uel; Fernandez, y subteniente fD. Marcos- Domin-i guez, de lá división dé milicias de Tuxpart-, y á los subtenientes 'de las cornos páñías de'fieles realistás de Túxpán y Pápantla D. Rafael ¡Contreras y D. Jo-* séf J'oaquin Cówley y que todos todos han desempeñado su deber, con h. yOr exactitud* j .‘árróstrando la multitud de peligros de todas clases qué se les hán-presentado. ■■ - .*• y : / Yy- ■ ,,Dios guarde'# -Vr E. mu’chos años. ' Gampoenía…</t>
  </si>
  <si>
    <t>…ares ó patriotas que hubiesen muerto en defensa de la justa causa de la nación, ha cabido en suerte del primer extracto de la de este dia á Doña María de los Dolores León, hija de D. Rafael, teniente que fue del regimiento de infantería del inmemorial del Rey, muerto en el campo del honor. Los tenedores de boletas y. resguardos dados por la suprimida dirección de carruage procederán á su presentación en la veeduría general de la Real Casa, Capil…</t>
  </si>
  <si>
    <t>Rafael, Josef</t>
  </si>
  <si>
    <t>Josef Rafael</t>
  </si>
  <si>
    <t>…ra; y para la de tesorero á D. Plácido.Hernández Domínguez, va-' cantes todas estas dignidades por fallecimiento de los que las obtenían. Igualmente se ha servido S. M. conferir á D. Josef Rafael de los Santos la canongía que ha resultado vacante en la santa iglesia catedral de la Havaná por ascenso de D. Julián Josef del Barrio á arcediano de la misma iglesia: la canongía doctoral de la de Valladolid de Mechoacan á D. Josef Domingo López de Letona: l…</t>
  </si>
  <si>
    <t>Rafols</t>
  </si>
  <si>
    <t>…imiento, que después de cuatro horas de fuego era para mí el anuncio mas seguro de la victoria,, bajo cuya confianza marchaban las dos columnas de infantería al mando del teniente coronel Rafols, debió producir una impresión muy contraria en toda la ca ballería de Rioverde situada en la izquierda, que desconociendo la situación del enemigo y la nuestra creyó verse atacada, y rompió al momento en el desorden mas completo, atropellando la infantería, s…</t>
  </si>
  <si>
    <t>Rafols, Juan</t>
  </si>
  <si>
    <t>Juan Rafols</t>
  </si>
  <si>
    <t>…imeros puntos de donde fueron des alojados.” Siguen varias recomendaciones de los sugetos que mas se distinguieron en esta acción, y fueron los siguientes: Los tenientes coroneles D. Juan Rafols y D. Francisco de las Piedras: los capitanes D. Facundo Melgares, D. Cristóbal Villaseñor y D. Eusebio Moreno: el teniente coronel graduado D. Alejandro María Arango; y mis ayudantes de campo el capitán graduado D. Juan Basave, el alférez de na vio de la Real armada D. Juan…</t>
  </si>
  <si>
    <t>…00 á 6oq. hombres de infantería y caballería. „;En este estado de continuas escaramuzas permanecí hasta las 9 de la mañana , hora en que- llegó la infantería al mando del teniente coronel Don Juan Rafols, sargento mayor del batallón primero americano, baj©&gt; cuya di rección habia puesto un cuerpo provisional dé esta arma, que formaban las compañías del expresado batallón , después de cubrir los destacamentos en la Huasteca, las dos de cazadores y granaderos de…</t>
  </si>
  <si>
    <t>…stata Torres y otros cabecillas se emboscaron en las inmediaciones de Si lgo la tarde del 12, con el objeto de sorprender un convoy de municiones que conducía al campo el teniente coronel D. Juan Rafols, y saliendo rápida mente de la emboscada con sn buena caballería intentaron romper la tropa; pero recibiéndolos esta con serenidad y firmeza, no solo fueron rechazados Dizarramente, sino perseguidos con pérdida á larga distancia, entrando el convoy sin noveda…</t>
  </si>
  <si>
    <t>…las órdenes del coronel de dragones del Nuevo-Santander D. Francisco de Orramía , la segunda á las del coronel del batallón de Navarra D. Josef Ruiz, la tercera á las del teniente coronel D. Juan Rafols, comandante accidental del ifegimiento primero Americano, la cuarta á las de D. Angel Diaz del Casti llo , coronel del regimiento de Fernando vn de línea , y Ja quinta, compuesta de tropas auxiliares de Guádalajara, a las del coronel aé dragones de la Nue va*…</t>
  </si>
  <si>
    <t>…es; y en efecto me cercioré muy en breve de que parte del* batallón ligero de Navarra y regimiento primero Americano1 con el coronel D. Josef Ruiz del primero, y el sargento mayor D. Juan Rafols del segundo, se ha bían introducido en la fortaleza , y se extendían á todos los puntos , arrollando á los insurgentes que encontraban en su rápida marcha hasta llegar al Tepeyac, adonde á prevención mandé yo al instante que pasase á ocuparlo el ca pitán del…</t>
  </si>
  <si>
    <t>Rai</t>
  </si>
  <si>
    <t>…a en el mejor orden, colocando en su centro las cargas, y mandando por 1 á derecha dds guerrillas de cazadores al cargo de los tenientes D. Anselmo González y del capitán graduado D. Rai mundo del Olmo, y por la izquierda al capitán D. Domingo Ugarte con 40 caballos , encargándole el mando de un cañón al tehiente D. Ignacio Nieto, .y el'Otro al subteniente D. Josef Manuel Montano; y marchando en buen ór*den hacia el enemigo, me reservé 40 gra…</t>
  </si>
  <si>
    <t>Raíz, Manuel María</t>
  </si>
  <si>
    <t>Manuel María Raíz</t>
  </si>
  <si>
    <t>…aría Gómez. Espolios y Vacantes: Eugenia Alonso. Consejo de Castilla; Manuel Amador. Propias de Madrid t Manuel Revuelta. Sugetos que se hicieron acreedores d la medalla de honor. D. Manuel María Raíz, D. Antonio Barea, D. Domingo Rodríguez Car vajal, D. Josef Albarran, D. Pedro Giménez de Haro y D. Domingo Lama. Nota. Manuel Resuelta , Manuela Esperanza, Manuel Amador , Eugenia Alonso y María Gómez están declarados acreedores á ser admitidos en los establ…</t>
  </si>
  <si>
    <t>Ramí, Juan</t>
  </si>
  <si>
    <t>Juan Ramí</t>
  </si>
  <si>
    <t>…. condecórc* cop js gran cruztde la mfsmR Reatíórden w los Excmos. Sres. conde de CaStroterreñof y, aJ teQiente gene ral de los Reales egércitos, y presidente del reino de Quito , D. Juan Ramí rez, en consideración á sus distinguidos servicios . Por providencia del alcalde decano de fa Real Gas» y Corte el Sr*. D. Tádeo Soicr ,juez' de da' tes tamcn caria. del Sr. O. Francisco Cabarrüs . conde de este título se ‘■••«i* rt “• .«-í</t>
  </si>
  <si>
    <t>Ramírez</t>
  </si>
  <si>
    <t>…las condujo. - ,, A los prisioneros estoy siguiendo sumaria , que remitiré á V. E. en pri mera ocasión. No puedo menos de recomendar á V. E. el mérito nuevamen te contraído por el capitán Ramírez, pues su lealtad resalta en que Ledesma, Santiago é Hipólito Rondon son sus parientes en segundo grado. Por los in formes de Ramírez, y por lo que me consta anteriormente, recomiendo á V. E. el valor del capitán de carabineros Raimundo Márquez: este sugeto ,…</t>
  </si>
  <si>
    <t>Ramírez, Calixto</t>
  </si>
  <si>
    <t>Calixto Ramírez</t>
  </si>
  <si>
    <t>…. D. Julián Nieves , natural de S. Francisco deíisnados, fue confirmado en su empleo de capitán, obtuvo la nobleza personal, y ascendió ai grado de teniente coronel de caballería. D. Calixto Ramírez.,, natural de Maracaibo, fue confirmado en su empleo de capitán , se le dio la ílobléza petsonal, y el grado de teniente co ronel en el batallón de Barinas dónde sirve. i •Milicias de pardos de Valencia. Capitanes: D. Ramón Hidalgo, D. Ca simiro Colon , D. Fe…</t>
  </si>
  <si>
    <t>Ramírez, Felipe</t>
  </si>
  <si>
    <t>Felipe Ramírez</t>
  </si>
  <si>
    <t>…de Murcia, su Real permiso para que pueda usar la flor de Lis de Francia. El supremo Consejo de Hacienda en sala primera de Justicia por providencia de 3 de Enero ha acordado que D. Felipe Ramírez , D. Joaquín Hernández Llano; D. Eugenio Aparicio y D. Martin Planté, corredores de cambio, juros y seguros de esta corte, paguen inmediatamente las anualidades vencidas que estuviesen de biendo, y lo hagan en lo sucesivo de las que se vencieren; y ha señalad…</t>
  </si>
  <si>
    <t>Ramírez, Josef Antonio</t>
  </si>
  <si>
    <t>Josef Antonio Ramírez</t>
  </si>
  <si>
    <t>…D. Josef León Gómez la nobleza "per sonal* • - Capitán de milicias de artillería de Puerto-Cabello. D. Faustino Garcés la nobleza persona!; . ^ ^ -• &gt; s Guerrillas de¡ Camhtaguai D. Josef Antonio Ramírez y D. Domingo Tason confirmados, en sus empleos de capitanes:, y la nobleza personal. Escuadrón deHisnados. D. Francisco Coronado , natuial de S. Francis co de Tisnados, aprobado en el empleo de teniente, el Don personal, y as cendió á capitán de caballería. • ' Mayor doma de.I-…</t>
  </si>
  <si>
    <t>Ramírez, Juan</t>
  </si>
  <si>
    <t>Juan Ramírez</t>
  </si>
  <si>
    <t>…correría se tomaron 1 fusil, 3 lanzas, i espada, 1 montura y como 30 caballos y yeguas. ,, Según el parte deí comandante son dignos de que recomiende á V. E. al sargento graduado D. Juan Ramírez , del primer piquete, y al soldado deí segundo Longino Carmona, que apresó al cabecilla. ,,Dios guarde á V. E. muchos años. S. Pedro Piedragorda Diciembre 22 de i8i7.=Éxcm©. Sr.2Juan Flores. = Excmo. Sr. mariscal de campo Don Josef de la Cruz.’\ . 2.0 „ Excmo…</t>
  </si>
  <si>
    <t>…dos, también ha sido de mucha importancia la actividad del comandante de la, partida, y budn acierto en sus disposiciones y elección ¿n los sugetos teniente D. Mariano Már •ciel y sargento D. Juan Ramírez , que mandaron las dos partidas que egecutaron la sorpresa. ,,Todo lo que participo á V. E. para su superior conocimiento. ,,Dios guarde á V. E. muchos años. S. Pedro Piedragorda Diciembre- 5 de 1817. = Excmo. Sr. =Juan Flores. = Excmo. Sr. mariscal de campo…</t>
  </si>
  <si>
    <t>…or nuestra parte solo Iremos tenida la desgracia de salir herido el sol dado del segundo piquete de Acordada Bernardo Santoyo, otro del primero Carlos Cruz, y el sargento graduado D. Juan Ramírez levemente. ,, Tanto por el valor como pdr el numero á que atacaron tan corto de nuestra parte, me parece digna de que recomiende á V. E. esta correría para satisfacción ó premio de los interesados; ,, Dios guarde i V. E. muchos años. S. Pedro Piedragórda Marz…</t>
  </si>
  <si>
    <t>…tros á quienes no había permi tido el tránsito por el lucro que dejan á los rebeldes. ,, Al llegar la descubierta que llevaban los dos piquetes, y que mandaba el sargento graduado D. Juan Ramírez á la hacienda de santa Rosa, avista ron unos 4 rebeldes, que se pusieron en fuga con dirección á un rancho que llaman Mesquite gordo, en donde-estaba toda la gavilla de Mateo Franco con mas de 60 hombres, á la que avisaron los fugitivos que iban los de S. Ped…</t>
  </si>
  <si>
    <t>…es y tropa se portaron con el honor y valor que tieriea acreditado; pero el que se distinguió mas particularmente fue el sargento de la partida de S. Pedro , graduado de alférez , D. Juan Ramírez, quien adelan tándose con unos cuantos de la guerrilla sorprendió á una gavilla de 14 ó I.6.que había en el mercado, matando á ó de elfos; y este mismo valiente y bien acreditado patriota sostuvo con su valor y disposiciones el paso del rio contra una chusma…</t>
  </si>
  <si>
    <t>Ramírez, Manuel</t>
  </si>
  <si>
    <t>Manuel Ramírez</t>
  </si>
  <si>
    <t>…eunir entre estos vecinos los que pude á daba!lo, no tanto para defenderme cuanto para exterminarlos; logré juntar poco mas de 100 hombres, y el 25 de los corrientes, ál mando del capitán D. Manuel Ramírez, les ordené saliesen á observar al enemigo para salir yo en llegándome los pertrechos que esperaba el 26, en cuya mañana en ei rio de Guaya,, jurisdicción de Haguay, se encontró á las 7 Ramírez con Ledesma,</t>
  </si>
  <si>
    <t>Ramírez, María Agustina Udaeta y</t>
  </si>
  <si>
    <t>María Agustina Udaeta y Ramírez</t>
  </si>
  <si>
    <t>…ugar. Estándose subastando por el juzgado de la subdelcgacicn general de bienes mos* fréneos los bienes de que se componen las dos vinculaciones que poseyó hasta su fallecimiento. Doña María Agustina Udaeta y Ramírez, vecina que fue de la villa de Esquivas, declaradas vacantes, y aplicadas al Real fisco, se ha hecho postura á dos posesiones correspondientes á las mismas vinculaciones, la una sita en término de la citada villa, llamada dé la Cruz, de caber 7066 estadales,…</t>
  </si>
  <si>
    <t>Ramírez, Martin</t>
  </si>
  <si>
    <t>Martin Ramírez</t>
  </si>
  <si>
    <t>…Domingo D. Juan Carriles, con el objeto de que recorriese el rumbó de la hacienda del Cristo, en donde consiguió se le presentase á. gozar de la Real gracia de indulto el titulado capitán Martin Ramírez, quien entregó unos ornamentos y vasos sagrados, según consta en la noticia que le he remitido; verificando igualmente su presentación varias familias que se hallaban por aque llas barrancas. También lo egecutaron en este destacamento en los días 6 y 7 400 in…</t>
  </si>
  <si>
    <t>Ramírez, Miguel</t>
  </si>
  <si>
    <t>Miguel Ramírez</t>
  </si>
  <si>
    <t>…iglesia por renuncia de D. Ma tías Josef de Feria, á D. Bérnardiño Pini y Ledos: la ración que ha quedado vacante en la catedral de Guadalajara por muerte del conde de Sta. Rosa á Don Miguel Ramírez, medio racionero, y esta media ración á D. Manuel de Arteaga y Bazan: para otra ración de la catedral de Trujillo, que ha resultado vacante por fallecimiento de D. Juan Diego Teruel, á D. Vicente Remon y S. Martin; y últimamente para una.media ración de la ca…</t>
  </si>
  <si>
    <t>Ramírez, Pablo</t>
  </si>
  <si>
    <t>Pablo Ramírez</t>
  </si>
  <si>
    <t>…d: 3e?presidia^ expejntesdont&amp;riunibrewedHcufso; d mo tivo y: la utilidad; dé !estosi;óxámei¡iést&lt; ^o¿e^tudá't .habiéndose presentado ¿os discípulos D. Manuel María Tapia y Román, D. Pablo Ramírez *D*P)edrode Ja Cuésta, D. ;GaBrddí de la Cál le’Maaía^ D. Luiss María de Glive ^ Di Josef Cano y Canga y D^ Antonio Fernandez, y sorteáddse.eñtrerellos ekórdeuly. Jas materias sobre! que debían r.seri Examinados ^ fexphcaíoiiír mwiúctoieiiteijtodaiJa teoría d…</t>
  </si>
  <si>
    <t>…stocó. exp licar f adju— dico el; primer premio al discípulo D. Gabriel de iavGalle Macíá, y el se-* gundo á D, Manuel María Tapia; y habiéndose .declarado el accessit á. favor de D. Pablo Ramírez, el subdirector .tuvo, la generosidad de costear . para. ái otro premio igual al de süs compañeros. c; . : ... v* j. -En los años anteriores desde el de 1814 inclusive la. sociedad habia eele-^ brador* iguales exámenes, y adjudicado á , los -.-mas sobresalten…</t>
  </si>
  <si>
    <t>Ramirez.se</t>
  </si>
  <si>
    <t>…age de la Ciénega, tanto por traer al padre D. Manuel Luivano, como por haber sabido que había una reunión de 200 hombres al mando de los rebel des Ayala y Ríos, y que el titulado capitán Ramirez.se hallaba en la Mojo nera con 30 de los que llaman patriotas de aquellos contornos. El 2 del cor riente, como llevo dicho, verifiqué mi marcha, dejando el gran destacamento de la Mojonera á mi izquierda para sorprenderle á la vuelta, y el 3 de madru gada entré…</t>
  </si>
  <si>
    <t>RamoaRodriguez</t>
  </si>
  <si>
    <t>…gía del egército. D. Tomas Carrillo la no** bleza personal. . , : : - r - Segundos practicantes de cirugía. D. Juan Rodríguez la nobleza per sonal : D’.' i Francisco Ortega idémiy-D. RamoaRodriguez ídem. ^ Escuadrones de- guias del general juc han sido aprobados casus empleos. Cápitartfés’: Pedro Villásaha- y Máíxímíiiíiho-González/ Tenientes': Fabián Figueredó y Jósef Moron. Alféreces: ÍRamon Sánchez, Francisco Cuesta y irlos Segura. Escuadrones del Re…</t>
  </si>
  <si>
    <t>Ramón</t>
  </si>
  <si>
    <t>…ue se fijarán tam bién en los parages acostumbrados de la misma, comparezcan en dicho juzgado y citada escribanía á deducir sus derechos á la herencia de los bienes que dejó dicho D. Ramón, por medio de procurador con poder bastante y los documentos de su justificación; que asi lo hiciesen se les administrará justicia , y en otra manera dicha término pasado, se procederá á dar el destino de los bienes con arreglo al testamen to bajo de que fall…</t>
  </si>
  <si>
    <t>…a calle trató de reunirse, lo que verificó rompiendo el fuego por ambas partes forzando los parapetos enemigos. Visto esto por el teniente D, Ignacio Prie-í to, que con el alférez D. Ramón de la Cruz y D. Agustín Mora y 30 hom bres lo había puesto al freute del fortín del Calvario , atacó inmediatamente* á este con 15 dragones pie á tierra con Mora, quedándose el resto á caballo^ que á los pocos thomentos asaltaron ef parapeto, siendo víctimas…</t>
  </si>
  <si>
    <t>pitan graduado de egército D. Bernabé Villanueva, de dragones del Sur, y te--, niente graduado del Potosí D. Ramón de la Cruz con 40 dragones se echasen encima á toda costa, y yo con los 40 restantes y los oficiales capitán gradua do de dragones de España, mi ayudante, teniente graduado del Potosí D. Jo sef María Yañez,»y el subteniente agregado de Sto. Domingo D. Joaquín…</t>
  </si>
  <si>
    <t>Ramón'</t>
  </si>
  <si>
    <t>…?qde ~e, adtmtlran las .q~e ,¡.'fliciere~. s~endo.·ari'egladas.' ,: ....., " . ,¡I' .'. Se cita, llama y emplaza a D. FranCISco losefP;J.von y MUDOZ, D., Josef fu;;Q Villanueva y 'D. Ramón' dIe .AngÍllo, teJ1edo;~s respeét~vós i I.d.emas }nteresado~ '({n /r~s y"~l~s,~eal~~t el uno~e'.i50 pes?sde!. de Enero, de 1808.11, flu~ero.294733: otro de' 3'00 pesós de la mIsma creaClon t numero 93549; y- el otro de 3 00' pe~os ~c .'f.~ (fe Mayo de r808,. n…</t>
  </si>
  <si>
    <t>Ramos</t>
  </si>
  <si>
    <t>…Ximenez, heridos; siendo la del enemigo considerable en unos y otros según los regueros de sangre que dejaron ; aunque de los primeros solo se vieron 12, Uno de ellos el nombrado capitán Ramos de la gavilla de Paíoblanco, pues asi.lo declararon algunos de los 13 prisioneros que se les hizo, que hecha la debida averiguación serán pasados por las armas los que sus delitos los hagan acreedores á esta pena, que indefectiblemente la sufrirán Pedro Salaz…</t>
  </si>
  <si>
    <t>Ramos, Antonio</t>
  </si>
  <si>
    <t>Antonio Ramos</t>
  </si>
  <si>
    <t>…tido un escuadrón, de rebeldes mandado por el bárbaro Magdaleno, en la isla de Apunta,, próximo á esta plaza, por la bizarra caballería de Guayabal, mandada por el capitán de guia D. Antonio Ramos, y la del capitán Moron de esta plaza , que al efecto hice reunir con aquella. Solo tres rebeldes lograron fugarse á nado, pues ademas de haber muerto en la acción 28 hombres , se han ahogado muchos mas en la preci pitación de su fuga, y 16 prisioneros que me…</t>
  </si>
  <si>
    <t>…a por su valor é intrepidez fueron los capitanes Felipe Ramos y Josef Antonio Fuentes, habiendo el primero dado muerte á Freites: los que recomiendo á V. E., y particu larmente al capitán D. Antonio Ramos, que por su mucha subordinación, buenos deseos de acabar con toda la canalla, y de que lo empleen en cual quiera comisión importante y artriesgada, como por su denodado valor y bizarría, es digno de los mayores elogios. Dios guarde á V. E. muchos años. S. Fer…</t>
  </si>
  <si>
    <t>…ancisco Nuñez, natural de Barbacoas, fue confirmado en su empleo de capitán , se le confirió la nobleza personal , y ascendió á comandante de! éscu/.dron del Sombrero y Barbacoas. D. Antonio Ramos , natural del Guaya bal , fue confirmado en su empleo de capitán de caballería, se le concedió la nobleza personal, la medalla de oro coronada con el busto de S. M., y ha sido-ascendido á comandante del escuadrón del Guayabal. D. Felipe Ramos, hermano del ant…</t>
  </si>
  <si>
    <t>Ramos, Fabian</t>
  </si>
  <si>
    <t>Fabian Ramos</t>
  </si>
  <si>
    <t>…dos pro fesores, ha adjudicado.'la junta, con vista de las censuras de cada uno, los dos premios de á 55 pesos á D. Cayetano Pascual y D. Ramón Torres, y. los dos segundos de 35 á D. Fabian Ramos y D. Miguel Rodríguez González; pero enterada al mismo tiempo que con estos obtuvieron igual mérito Don Antonio Josef Tello , D.- Pedro Martin y D. Tomas Demetrio Ascanio, re solvió se distribuyesen entre los tres varios libros é instrumentos de su facul tad * con-el laudable objeto de est…</t>
  </si>
  <si>
    <t>Ramos, Felipe</t>
  </si>
  <si>
    <t>Felipe Ramos</t>
  </si>
  <si>
    <t>…empleo de capitán de caballería, se le concedió la nobleza personal, la medalla de oro coronada con el busto de S. M., y ha sido-ascendido á comandante del escuadrón del Guayabal. D. Felipe Ramos, hermano del anterior, fue confirmado ¡en I el empleo de capitán de caballería* sede dio lia. nobleza personal, da ¡medalla; de* oro,: y. ascendió al grado de te-* h i ente coronel. D. Juan Josef Cruces* natural del Pao, se le concedió la no bleza personal, l…</t>
  </si>
  <si>
    <t>Ramos, Francisco Xavier</t>
  </si>
  <si>
    <t>Francisco Xavier Ramos</t>
  </si>
  <si>
    <t>…i7. = Excmo. Sr. = Juan Juez. =Sr. general en gefe del egército expedicionario.” El dia 11 de Octubre último pasado falleció en esta corte á los 71 años, 7 meses y 12 dias de edad D. Francisco Xavier Ramos, pintor de Cámara ae S. M., y director de la Real Academia de S. Fernando: nació en Madrid en 30 de Marzo de 1746, y se dedicó al dibujo desde sus primeros años ba jo la protección del célebre profesor de aquel tiempo Fr. Bartolomé de Sari Antonio, de Trinita…</t>
  </si>
  <si>
    <t>Ramos, Josef</t>
  </si>
  <si>
    <t>Josef Ramos</t>
  </si>
  <si>
    <t>…anuel Izcaray, D. Gonzalo López de la Torré, D. Josef María Rasco, D. Genaro González* D. Juan María Quevedo, D. Pedro Suarez, D. Antonio Tenllado Henriquez y el doctor en cirugía D. Josef Ramos. Examinadas las memorias de los pre tendientes á los dos premios expresados, y teniendo en consideración la na turaleza de los objetos que á cada cual se le confió, lo que los interesados lle vaban de discípulos del establecimiento, el poco tiempo para formar…</t>
  </si>
  <si>
    <t>Ramos, Josef Alvarez</t>
  </si>
  <si>
    <t>Josef Alvarez Ramos</t>
  </si>
  <si>
    <t>…en gador, grados de tenientes de navio: á ios alféreces de navio D. Juan de Dios Sotelo , D. Joaquín Blanco y D. Manuel Umendia , empleos de teniente de fragata: al de igual clase D. Josef Alvarez Ramos, grado de teniente de; fra-r gata; y al alférez de fragata, primer piloto de la armada, y capitán de la-fragata mercante titulada Daoiz D. Isidro de Castro, grado de alférez de navio. Mercurio de España. Junio de 1818. Véndese á 4 rs. en el despacho de la im…</t>
  </si>
  <si>
    <t>Rangel, Ramón</t>
  </si>
  <si>
    <t>Ramón Rangel</t>
  </si>
  <si>
    <t>…l brigadier D. Jo$ef Ozaeta: el de Puertos-Real, que se extenderá desde Santi-Petri hasta la einbocadurade la barra del Puerto de Santa María , será de cargo del teniente co ronel D. Ramón Rangel , comandante del segundo batallón del Infante D. An tonio ; y el de Rota, comprendido entre aquel puerto y el rio Guadalquivir, estará á las órdenes del brigadier D. Manuel. María Trevíjano. ,,• - 5.° El tercero se compondrá,.de. otros tres cantones dividido…</t>
  </si>
  <si>
    <t>Rasco, Josef María</t>
  </si>
  <si>
    <t>Josef María Rasco</t>
  </si>
  <si>
    <t>alumnos bachilleres D. Félix de Federico, D. Casimiro Herrezuelo, D. Ma riano 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premios expresados, y teniendo en consideración la na turaleza de los obj…</t>
  </si>
  <si>
    <t>Rasquin, Josef Antonio</t>
  </si>
  <si>
    <t>Josef Antonio Rasquin</t>
  </si>
  <si>
    <t>…ez y Chaves 4, D. Ramón Gutiér rez 6, D. Feliciano Borges 4, D. Josef Hernández Horta 4 , D. Matías Cas tro 4, D. Juan V ícente Perez 2, D. Antonio García 2 , D. Pedro Castillo 4, D. Josef Antonio Rasquin 5 , D. Francisco de Iturbe 10, D. Ramón de Azpurua 5 , Dv Miguel Rabelo Alcántara 16, D. Félix Domingo Martínez 2 , Don Juan: Esteban de dEehezuria 20, D. Bernardo Pénelas 20, T). Antonio Na;yarro 20, D. Josef Antonio y D. Manuel María Díaz 16 ¿ D. Agustín Es…</t>
  </si>
  <si>
    <t>Raya, Juan</t>
  </si>
  <si>
    <t>Juan Raya</t>
  </si>
  <si>
    <t>…ere com prarlas acuda ante el Sr. D. Angel Fernandez de los Rios, del Consejo d ; S. M., teniente corregidor de esta muy heroica villa, y por la escribanía de su número que egerce D. Juan Raya, dentro de 15 dias. Habiendo sido reclamados por Doña Dominga Asanco, y retenidos en la oficina de Renovación, tres vales Reales de 300 pesos, creación de i.° de Setiembre de 1808, núms. 69484, 69927 y 70125 , pertenecientes á D. Josef Mariano de Gandásegui,…</t>
  </si>
  <si>
    <t>…iere hacer postura acuda ante el Sr. D. Angel Fernandez de los Ríos, del Consejo de S. M., teniente corregidor de esta muy heroica villa, por la escribanía de su número que egerce D. Juan Raya; y está señalado para el remare el dia 24 de este mes á las 12 en la puerta de la audiencia del mismo señor. Los suscriptores al periódico filarmónico, titulado la Lira de Apolo, podrán re coger el segundo cuaderno del primer trimestre perteneciente al mes de…</t>
  </si>
  <si>
    <t>…de celebrarse ante el Sr. D. Joaquin Almazan, teniente corregidor de esta muy heroica villa, en su posada en el día 7 de Junio próximo á las ocho, por ante el escribano del número D. Juan Raya; con apercibimiento que si no comparecen sin mas citación y en su amencia y rebeldía se procederá en el asunto, y les parará el perjuicio que haya lugar. Quien quisiere comprar una casa sita en el lugar de Vallecas en la callé que lla man de la Torre, su fach…</t>
  </si>
  <si>
    <t>…s. vn. Quien quisiere hacer postura acuda ante el Sr. D. Manuel Josef Rubio, del Consejo de S. M., teniente corregidor de esta villa, y por la escribanía de su numero., que egerce D. Juan Raya, y ésta señalado para su remate el dia 21 del corriente , á las 1 2, en la audiencia del mismo señor. Se venden un censo de 192© rs. de capital, impuesto contra la casa y estados del Excmo. Sr. marques de Estepa, y una escritura de imposición en la diputación…</t>
  </si>
  <si>
    <t>…ien quisiere hacer mejora áciida ante el Sr. D. Manuel Josef Rubio, del Consejo de S. M., teniente corregidor de esta müy heroica villa, por la escribanía de su níímero qué egerce D. Juan Raya, y está señalado para su remate el' día 2 5 de este mes á las 12 en la audiencia del mismo señor,- i / ' ■ . En la villá de Villaviciosa de Odón, distante tres leguas de esta corte, se halla vacante la plaza de médico titular de ella , con la dotación de 20 r…</t>
  </si>
  <si>
    <t>…Quien quisiere hacer mejora acuda ante el Sr. D. Manuel Josef Rubio, del Consejo de S. M., teniente corregidor de esta muy heroica villa, por la escribanía de su numero que egerce D. Juan Raya, y está señalado para su remate el dia 19 de este mes, á las doce y media, en la audiencia del mismo Señor. Almanaque náutico y efemérides astronómicas para el año de 1821 , con un apén dice que contiene las ascensiones y declinaciones de las 36 principales e…</t>
  </si>
  <si>
    <t>…o venidero , á las nueve, en la posada del Sr. D. Angel Fernandez de los Ríos, del Consejo de S* M.&gt; teniente corregidor de esta muy heroica villa, ante el escribano de su numero ¡D. Juan Raya. Se desea saber el paradero del maestro armero D. Bernardo .García Consuegra, que en el ano de 1813 se hallaba en Cartagena. Si alguna persona tuviese noticia de él se servirá avisarlo en la imprenta Real.</t>
  </si>
  <si>
    <t>Real, Pascual</t>
  </si>
  <si>
    <t>Pascual Real</t>
  </si>
  <si>
    <t>…La pérdida de los enemigos es infinitamente mayor, y no baja de i®, hombres, incluyendo el destrozó que las compañías de Navarra hicieron ea hl caballería en el primer ataque. „El brigadier D. Pascual Real, que seguía en el cuartel general , pidió ser empleado en el acto de la acción, y se puso a la cabeza de su regimiento de Castilla , dando las disposiciones mas acertadas .para defender los pasos que se le encargaron; debiéndose á su valor, asi como al del co…</t>
  </si>
  <si>
    <t>Real, Príncipe</t>
  </si>
  <si>
    <t>Príncipe Real</t>
  </si>
  <si>
    <t>…or fin en el arsenal. Desde alli se trasladaroa todas las Personas Reales á palacio en ricos y magníficos coches, en el primero de los cuales iban SS. M\t. y SS. AA. RR. el Sermo. Sr. Príncipe Real y su augusta Esposa. Todas las calles por las cua-</t>
  </si>
  <si>
    <t>…guardia Real el Excmo. marques de Bellas. Seguíase luego el Sermo. Sr. Infante D. Miguel, descubierto, con el esto** que Real desenvainado en la mano como condestable. » El Sermo. Sr. Príncipe Real iba junto al Rey, cuya augusta presencia colmaba á todos de alegría. Iba S. M. adornado con el suntuoso manto Real todo recamado de oro, y asegurado con dos riquísimas presillas de brillan**tes. Llevaba la cola del manto Real el Excmo. conde ae Parati, que se…</t>
  </si>
  <si>
    <t>Excmo. Sr. Secretario de Estado leyó en voz alta la fórmula del juramento y pleito homenage que debía prestarse á S. M. Llegóse luego á hacer el juramento el Sermo. Sr. Príncipe Real ; y veri ficado , besó la mana al Rey nuestro Señor j y en seguida lo egecutó el Sere nísimo Sr. Infante D. Miguel. Desarrolló entonces el Excmo. alférez mayor la bandera Real; y habien do prestado el debido juramento los grandes, títulos, la demas nobleza, l…</t>
  </si>
  <si>
    <t>Reales, Martin Saigos las</t>
  </si>
  <si>
    <t>Martin Saigos las Reales</t>
  </si>
  <si>
    <t>…las afinidades químicas que con tienen los principios indicados en estas aguas deben ser muy útiles en las afec ciones calculosas de la vegiga. Considerando pues dicho presbítero D. Martin Saigos las Reales disposi ciones de S. M. para que se estudien mejor que hasta aquí’ se ha hecho las aguas minerales del reino, enviando á ellas profesores de ¡ medicina que hayao probado sus talentos en esta i parte mediante rigurosas oposiciones, lo hace saber á estos y al p…</t>
  </si>
  <si>
    <t>Rebolledo, Bernardino de</t>
  </si>
  <si>
    <t>Bernardino de Rebolledo</t>
  </si>
  <si>
    <t>…o Davila, D Juan de Austria, D. Alvaro de Bazan , Antonio de Nebrija, y Pedro Me»nendez de Aviles: 5.0 D. Juan de Austria, Fr. Luis de Granada, Martin de Azpilcueta, Pedro Chacón, D. Bernardino de Rebolledo, y D. Luis de Góngora. con tinuará. ) En el juzgado de la subdelegacion general de bienes Mostrencos, Vacantes y Abíntestatos se han seguido y penden autos sobre denuncia de los bienes del mayorazgo titulado de Legazjo , los cuales se han declarado vacantes y…</t>
  </si>
  <si>
    <t>Recarte, Josef Antonio Oscot y</t>
  </si>
  <si>
    <t>Josef Antonio Oscot y Recarte</t>
  </si>
  <si>
    <t>…l cíesJtoblado Casa Castillo y Montes dé A lamín á 0. Gabriel Moy a dé la Torre. 4 Por resolución á consultas dél consejo de las Ordenes militares se ha ser vido el Ré y nombrar á D. Josef Antonio Oscot y Recarte para la vara de Sueca, vacante por promoción de D. Pascual Alpuenté á una plaza de al caide del crimen de la chancillería de Valladolid; para la del Toboso, que lo está por nombramiento de D. Francisco Juan y Cantavilla para la de Ge rona, á D. Cristóbal Gonz…</t>
  </si>
  <si>
    <t>Red, Hermenegildo</t>
  </si>
  <si>
    <t>Hermenegildo Red</t>
  </si>
  <si>
    <t>92$ % . . ....parte original que me ha dirigido el teniente coronel D. Hermenegildo Red 'vuelta, comandante militar'de la villa de Lagos, de resultas de la expedición que acaba de egecutar á los puntos que expresa (todos de la provincia de Guanajuato); y siendo el suceso tan útil y ventajoso á aquel territorio, reco miendo muy particularmente á…</t>
  </si>
  <si>
    <t>Reding, Carlos de</t>
  </si>
  <si>
    <t>Carlos de Reding</t>
  </si>
  <si>
    <t>…ctor en medicina de la de Montpeílier, socio corresponsal de la academia de París, mé dico de número y cirujano primer ayudante de los Reales egércitos, y del regi miento suizo de D. Carlos de Reding, núm. 2.0, segunda edición : un tomo en 8.® á 1 2 rs. en pasta. Se hallará en la librería de Martin, calle de la Cruz, y en su des pacho de libros, calle ancha de Majaderitos. ‘ ■ enTaImprenta REAL.</t>
  </si>
  <si>
    <t>Rega, Francisco Xavier Mosquera de</t>
  </si>
  <si>
    <t>Francisco Xavier Mosquera de Rega</t>
  </si>
  <si>
    <t>…. Angel Fernandez de los Ríos, teniente corregidor mas moderno de esta muy heroica villa-----Para el cor regimiento de las cuatro villas de la Hoya de Málaga, su capital Cohin , á D. Francisco Xavier Mosquera de Rega; y para el de la villa de Almonte á D. Blas Antonio Martel: para la vara de alcalde mayor de la villa de Ubrique á D. Antonio Villareal y Sanabria: para la de la ciudad de León., va cante por traslación de D. joaquin Ruiz de Arechavaieta á la .de Alará, á D.…</t>
  </si>
  <si>
    <t>Regás</t>
  </si>
  <si>
    <t>…s ventajas á las de la siembra hecha según el estilo general y común del pais. jo. También se ha mandado abrir una lámina que represente el arado nuevamente inventado por el mismo señor Regás; y el promotor de esta so ciedad D. Dionisio Marchante ha encargado al autor haga construir á sus expensas dicho arado en grande, y se le remita á esta villa, para que viendo todos sus ventajas, se generalice tan útil invento. Lebrija (provincia de Sevilla')…</t>
  </si>
  <si>
    <t>Regás, Antonio</t>
  </si>
  <si>
    <t>Antonio Regás</t>
  </si>
  <si>
    <t>…ndose claro el sembrado, y creyéndolo yerba, arrancaron una gran parte los operarios. 9.0 En el presente año se hallan sembradas bastantes heredades con la sembradera económica de D. Antonio Regás, cuyas plantas presentan el as pecto mas sobresaliente, llevando conocidas ventajas á las de la siembra hecha según el estilo general y común del pais. jo. También se ha mandado abrir una lámina que represente el arado nuevamente inventado por el mismo señor…</t>
  </si>
  <si>
    <t>Regue</t>
  </si>
  <si>
    <t>…rde á vmdL muchos años. Acambaro Enero 19 de 1818. = Ramon García y Reguera.z=Sr. sargento mayor D. Josef de Castro ” • - S. E. en vísta,dé esté parte ha mandado darías gracias al capitán Regue ra, y á todos lasque concurrieron á la expedición, y ha concedido al alfé^rez debrea^nsiffntoiáe: Nueva-España D. Rafael Silva, y á los de realistas Don Ignacio Carrasco y D. Luis Roaro él grado de tenientes en su respectiva cla se. El de alférez de realistas…</t>
  </si>
  <si>
    <t>Reguera, Ramón</t>
  </si>
  <si>
    <t>Ramón Reguera</t>
  </si>
  <si>
    <t>…rte del comandante accidental sargento mayor D. Josef de Castro. ? » ,, Excmo. Sr.: Elevo á las superiores manos de V. E. el. parte original que el comandante militar de A cámbaro capitán D. Ramón Reguera me remite con fecha 19 del corriente, por el que se impondrá V. E. de las disposicio nes que'tomd para la persecución del cabecilla V elascó y. Rubí, y el resulta do tan glorioso que tuvieron las armas del Rey nuestro Señor en ios dos cho ques acaecidos con l…</t>
  </si>
  <si>
    <t>Reguerin, Manuel González</t>
  </si>
  <si>
    <t>Manuel González Reguerin</t>
  </si>
  <si>
    <t>…, y por cuyo influjo fue admido en ella, en premio de su aplicación, y para estímulo de ella 1500 rs. vil. anuales que disfruta ya desde i.° de Setiembre del año próximo pasado: á D. Manuel González Reguerin, vecino de esta ciudad, que presentó una cajíta de pastillas de todos colores para lavados y miniaturas, hechas por él, y tan buenas como las mejores que se fabrican en&gt; países extraños, con ventajas considerables en su precio, patente de socio1 profesor, y l…</t>
  </si>
  <si>
    <t>Reguero, Vicente González del</t>
  </si>
  <si>
    <t>Vicente González del Reguero</t>
  </si>
  <si>
    <t>…añadida-é ilustrada con varias notas y ¡composiciones del mismo tiempo y asunto para su mas fácil inteligencia*, y. adornada con uñepítome, d[e la historia ver dadera del Cjd, por D. Vicente González del Reguero: un tomo en 12.0 de buena impresión. Se hallará en la librería de Ranz, calle de la Cruz, á 10 rs. en pasta’, 8 á la rustica y 7 en papel. 1 - : Historia de los perros célebres * sacada del francés y adornada con estampías obrita curiosa", muy divertida y pro…</t>
  </si>
  <si>
    <t>Reinoso, Félix Josef</t>
  </si>
  <si>
    <t>Félix Josef Reinoso</t>
  </si>
  <si>
    <t>…cuerpo D. Francisco Cavaleri y Ponce, leyó un elocuente discurso inaugu ral, después del cual se presentaron los discípulos de la cátedra de letras hu manas, bajo la dirección del profesor D. Félix Josef Reinoso; y habiendo dado pruebas de su instrucción, y recibido los mas sobresalientes el premio que se adjudicó, se disolvió la junta, que reunida nuevamente en los cinco días siguientes, solemnizó los exámenes de los discípulos de la cátedra de matemáticas, que dier…</t>
  </si>
  <si>
    <t>Reinoso, Julián Fuentes</t>
  </si>
  <si>
    <t>Julián Fuentes Reinoso</t>
  </si>
  <si>
    <t>…á los subtenientes del batallón de la Reina Doña Isabel D. Josef Masanes y Don Antonio Calderón, teniente del de Clarines D. Josef Guillen, y á los subte nientes del mismo cuerpo D. Julián Fuentes Reinoso y D. Trinidad Llinás, que fueron todos también heridos, algunos muy gravemente. „ El capitán de Milicias indio graduado de teniente coronel D. Josef Ma ría Chauran, agregado al batallón de Clarines, que se hallaba con la guer rilla de este cuerpo, se portó con la mayor bizarría;…</t>
  </si>
  <si>
    <t>Reinoso, Mariano</t>
  </si>
  <si>
    <t>Mariano Reinoso</t>
  </si>
  <si>
    <t>…hique ra con 200 hombres , por lo que salí de Marfil á la una de la tarde , y lle gué á Silao á las 5. A las 7 de la noche vinieron los confidentes del coman dante de dicho pueblo capitán D. Mariano Reinoso, asegurando que Mina debía hacer noche en el rancho del Venadito, distante 9 leguas del mencio nado pueblo; por lo que inmediatamente dispuse salir á las 10 de la noche con 500 caballos escogidos de los cuerpos cíe Frontera, Nueva-Vizcaya, dragones de S. Luis…</t>
  </si>
  <si>
    <t>…n sido de marchas forzadas, que hacían con el mayor gusto por ver que se dirigían á perseguir y destruir á un traidor. ,,También recomiendo á V. S. al comandante de armas de Silao capitán D. Mariano Reinoso, porque sus noticias contribuyeron en mucho al buen éxito de esta expedición, de la cual regresé,y entré en el citado pueblo á las siete de la noche. ,, Acompaño á V. S. para la debida satisfacción de los oficiales que se ha llaron en la prisión de Mina una r…</t>
  </si>
  <si>
    <t>…que acaban de ha cer, y concediendo á todos en el Real nombre de S. M. un escudo de distin ción en campo celeste con el mote Concluyó con la invasión j del que usará igualmente el capitán D. Mariano Reinoso , comandante de armas de Silao, por lo que contribuyó al feliz logro de tan favorable acción. «Al soldado de dragones de Frontera Josef Miguel Cervantes, que hizo la prisión material del traidor Mina , concedo un escudo del mismo color con el lema Prendió al…</t>
  </si>
  <si>
    <t>Remigio</t>
  </si>
  <si>
    <t>…ordel regimiento-de infantería dé Irlanda. * El Rey nuestro Señor se ha servido condecorar con la gran cruz de la Real y distinguida orden americana de Isabel la Católica al limo. Sr. Don Remigio de la Santa y Ortega, obispo absuelto de la Paz , en atención á sus distinguidos méritos y circunstancias. 5 t Igualmente se ha servido S. M. condecórc* cop js gran cruztde la mfsmR Reatíórden w los Excmos. Sres. conde de CaStroterreñof y, aJ teQiente gene ra…</t>
  </si>
  <si>
    <t>Remirez, María de Udaeta y</t>
  </si>
  <si>
    <t>María de Udaeta y Remirez</t>
  </si>
  <si>
    <t>…garon de biehes mostrencos, vacantes y abintesta*tos se venden los^bienes declarados vacantes, y pertenecientes al Real fisco, de que se componían las dos vinculaciones que poseyó Doña María de Udaeta y Remirez, vecina que fue de la villa de Esquivias, los cuales son á saber t una casa principal en la calle que desde la plaza pública de dicha villa baja á la plaza de su iglesia par roquial , compuesta de las piezas y oficinas necesarias para un labrador, y dentro de…</t>
  </si>
  <si>
    <t>Renart, Salvador Ros y</t>
  </si>
  <si>
    <t>Salvador Ros y Renart</t>
  </si>
  <si>
    <t>…no Enrich: Sobre la elevación de potencias, extracción de raíces y progresiones. El profesor Real de primera educación por S. R. M» en todos los domi nios de España y sus Américas D. Salvador Ros y Renart: Sobre la forma ción, propiedades, uso y práctica de los fogaritmos, y ecuaciones de prime ro y segundo grado, y aplicación de esta á las varias incógnitas, asi determi nadas como indeterminadas. En el segundo dia presidió la academia el Sr. D. Felipe de Amat…</t>
  </si>
  <si>
    <t>…ívoca de los conocimientos que había adquirido con su constante aplicación. Iguales pruebas dieron los otros cuatro jóvenes, quienes disertaron sobre las proposiciones siguientes: D. Salvador Ros y Renart: ,,La superabundancia de moneda es siempre perjudicial á ios manantiales de la producción*” E&gt;. Vicente María de Carva-</t>
  </si>
  <si>
    <t>Rengeí, Ramón</t>
  </si>
  <si>
    <t>Ramón Rengeí</t>
  </si>
  <si>
    <t>…terno , 2 sargentos , 3Jcabbs y ió soldados de infantería , y 21 dé caballería del tercer Vs'cpadtfoírf V'dítuítáritos de Españá. • Comandante de este cantón el-..teniente corónel’D. Ramón Rengeí: su residencia en Puerro-Real. yfT' Cantón. Rota. Su extensión desde el Puerto de Santa María al rio Cmáda%ii&amp;írí-‘ -- oh.::-. - v •'; -■ ^ 1</t>
  </si>
  <si>
    <t>Renoval, Tomas</t>
  </si>
  <si>
    <t>Tomas Renoval</t>
  </si>
  <si>
    <t>…antes. Al acercarnos á su campamento se'cogióun cría? do de este, y- habiendo dicho el parage fdoíidé su amo dormía, dispuso eí coronel D. Rafael López que el gefe de estado mayor D. Tomas Renoval**! fuese con uná partida; de infantería á ver si podía ¡cogerle; pero después dé haber penetrado este gefe con el mayor sigiló por el campamento enemigó) al acercarse á la mata donde dormía Bolívar ,• se eiicóiitro con él gefe de es tado mayor de ellos, cóii‘…</t>
  </si>
  <si>
    <t>Rentería, Francisco de</t>
  </si>
  <si>
    <t>Francisco de Rentería</t>
  </si>
  <si>
    <t>…retario de ayuntamiento hasta fin de Enero próximo. En la anteiglesia de Basigo de Baquio, en el señorío de Vizcaya, se halla vacante 3a maestría de latinidad, fundada en ella por D. Francisco de Rentería, cuya dotaclon consiste en 150 ducados anuales, casa habitación y huerta; pero tendrá que pa gar todas las contribuciones eclesiásticas, que le serán rebajadas de dicha renta. Los aspirantes á dicha maestría deben tener la circunstancia de ser precisamente sa…</t>
  </si>
  <si>
    <t>Repi, Juan Apraiz y</t>
  </si>
  <si>
    <t>Juan Apraiz y Repi</t>
  </si>
  <si>
    <t>…núms. 266420, 270338, 292405,293435,293437, 306056, 334717 y 336.112, endosados últimamente en D. Melchor García; y el otro de 300 pesos de i.° de Setiembre de 1808, núm. 55267 en D. Juan Apraiz y Repi de, para que en el término perentorio de go dias, contados desde esta publicación^ comparezcan por sí ó por medio de apoderado ante el Sr. D. Tadeo Soler, alcalde; decano de la Real Casa y Corte, y por la escribanía de provincia de D. Francisco Montoya, á ded…</t>
  </si>
  <si>
    <t>Requena, Josef López</t>
  </si>
  <si>
    <t>Josef López Requena</t>
  </si>
  <si>
    <t>…ara la de Casas de Bes á D. Francisco Sánchez Ferrer : para la de Bodonal á D. Ma nuel Arce y Revuelta: para la de Montoro á D. Justo Rodríguez Hurtado4; para la de. Constantina a D. Josef López Requena : para la de Alconchel á IX Juan Castillejo Navalon : para ia de Javaiquinro á IX Juan Ramón de Ibarra : para él corregimiento de Sétenil á D. Eufemia no María de Estrelle ra: para el de Zahara á D. Pascual Estruch; y para eFde-Beceta á D. Fran cisco de Paula…</t>
  </si>
  <si>
    <t>Requena, Josef María</t>
  </si>
  <si>
    <t>Josef María Requena</t>
  </si>
  <si>
    <t>…"de oro . -....... Escuadrones del Rey'. D-. Juan Basilio Castillo* natural.de Guárdatinajas, contirmado.de capitán, Don personal y medalla de oro. Guerrillas de Qrtiz y Parapara. D. Josef María Requena , natural de $/ Juan de los Morros, aprobado de capitán y el Don personal. Escuadran.íde Jisnaaos. D. Josef Benedicto Brache, natural del Pao, aprobado en su empleo de capitán, y obtuvo el Don.personal..Capitanes: Don Josef Antonio Ochoa, D. Manuel Felipe Och…</t>
  </si>
  <si>
    <t>Requesens, Luís de</t>
  </si>
  <si>
    <t>Luís de Requesens</t>
  </si>
  <si>
    <t>Diego de Saavedra Fajardo , y T&gt;. Alvaro Navía Osorio*. 7.0 D. Luís de Requesens, D. Bartolomé Leonardo de Argensola, D. Francisco Valles, D. Juan de Ribera, D. Juan de Palafox y Mendoza, y el Mtro. Fr. Luis Ponce de León: B.° D. Diego Mesía y Gueman , el Mtro. Juan de Avila, el P. Fr. Josef de Sígiienza, D. Diego Covarrubias y Leiva, Jua…</t>
  </si>
  <si>
    <t>Reveaga, Josef Hilario</t>
  </si>
  <si>
    <t>Josef Hilario Reveaga</t>
  </si>
  <si>
    <t>roo el caudillo Freites, su segundo Juan Sánchez y el capitán Josef Hilario Reveaga con 14 hombres mas; asegurando Ramos que el resto hasta 50, que componía la partida, y huyeron favorecidos de la noche, salieron los mas héridos. Por nuestra parte no ha ocurrido mas desgracia que el valiente capi tán Ramos, que se batió brazo á brazo con Fre…</t>
  </si>
  <si>
    <t>Reviila, Juan Josef</t>
  </si>
  <si>
    <t>Juan Josef Reviila</t>
  </si>
  <si>
    <t>…var. Del primero Americano: teniente coronel graduado D. Cristóbal Tenorio, capitán D. Josef Polledo, teniente D. Patri cio Ange y D. Miguel Tejeiro , subtenientes D.'Juan Perez y D. Juan Josef Reviila. De la Corona : teniente D. Ignacio Valiente. De Frontera: teniente coronel graduado D. Josef María Novoa , teniente D. Josef María Gutiérrez, " . Felipe Guillen, y agregado D. Mariano Miqueley, alférez graduado d^ - .rnañ'D. Josef María Peña , poirta graduad…</t>
  </si>
  <si>
    <t>Revuelta</t>
  </si>
  <si>
    <t>…puntos que expresa (todos de la provincia de Guanajuato); y siendo el suceso tan útil y ventajoso á aquel territorio, reco miendo muy particularmente á V. E. al referido teniente coronel Revuelta, que dispuso la expedición con el tino, previsión é inteligencia que manifiesta su resultado. Del mérito de este gefe está V. E. ya enterado por mis anterio res partes, por cuya razón pido á V. E. el grado de coronel, y el inmediato para el capitaii Campos y…</t>
  </si>
  <si>
    <t>Revuelta, Hermenegildo</t>
  </si>
  <si>
    <t>Hermenegildo Revuelta</t>
  </si>
  <si>
    <t>…que lo consulto. ■; - : Dios guarde á V.E. muchos años. Guadalajara 30 de Enero de i8i8.=r Exemo. Sr. = Josef.de la Cruz. == Exemo. Sr. virey D. Juan Ruiz de Apodaca.” -Parte del coronel D. Hermenegildo Revuelta que se cita en el anterior. ; ,, Exemo. Sr.: El dia 22 á las seis de la tarde hice salir de esta al capitán' del cuerpo de frontera de Cólotlan D. Manuel Campos con la fuerza de no' hombres bien montados, con orden de que caminase toda la noche, y que el sigu…</t>
  </si>
  <si>
    <t>…ampo D. Josef de la Cruz.” Contestación del Exemo. Sr. virey al Exemo. Sr. mariscal de campo Don Josef de la Cruz. ,, Exemo. Sr. : He visto con mucho aprecio el parte del teniente coronel D. Hermenegildo Revuelta, que V. E. acompaña á su oficio núm. 23 de 30 de Enero iiltimo, en que me comunica la útil, sagaz y bien meditada sorpre sa que egecutó el expresado gefe en la sierra de Guanajuato, cuyo parte he mandado se inserte en la gaceta para satisfacción de los intere…</t>
  </si>
  <si>
    <t>…el alférez D. Juan Leal y demas de la tropa que compone esta pequeña sección. ,,Dios guarde á vmd. muchos años. Ojuelos Febrero 17 de 1 8. = Josef Gaspar de Ochoa. = Sr. teniente coronel D. Hermenegildo Revuelta.” Parte del sargento mayor D. Juan Flores al Excmo. Sr. comandante general D. Josef de la Cruz. ,,Excmo. Sr.: El dia 23 en la tarde salieron de este destacamento los dos piquetes de Acordada al mando del capitán de fieles realistas graduado Don. Estéban Quesa…</t>
  </si>
  <si>
    <t>Revuelta, Hetménegildo</t>
  </si>
  <si>
    <t>Hetménegildo Revuelta</t>
  </si>
  <si>
    <t>cimiento el adjuñto parte original, que me ha dingrdb el coronel-D. Hetménegildo Revuelta, comandante militar de Lagos, de resultas dé haber despa¿ chado tres partidas con el fin de sorprender á los rebeldes amadrigados en lá sierra de Coman ¡a. ,,Dios guarde á V. E. muchos años. Guadalajara 27 de Enero de 1818. Excmo. Sr. =, Josef de lá Cruz. = E…</t>
  </si>
  <si>
    <t>Rey</t>
  </si>
  <si>
    <t>…os ba jo la protección del célebre profesor de aquel tiempo Fr. Bartolomé de Sari Antonio, de Trinitarios Descalzos: sus progresos fueron tan rápidos que lla maron ia atención del Sr. Rey D. Cárlos 111, para aprobar la propuesta que se hizo de que pasase á la corte de Roma, como se verificó, á continuar sus estudios bajo la dirección del célebre D. Antonio Rafael Mengs, su primer pintor de Cámara , y allí correspondió tanto á los deseos de su Soberano c…</t>
  </si>
  <si>
    <t>constantem ente por el Gobierno desde el reinado del Sr. Rey D. Carlos nr, época de dicho establecimiento. Subieron por fin SS. MM. y AA. al salón, donde el director tuvo la satisfacción de presentarles el surtido general de papeles ya concluidos :• alabaron la elegancia del dibujo, la viveza y frescura del colorido, y el gusto…</t>
  </si>
  <si>
    <t>…en do prestado el debido juramento los grandes, títulos, la demas nobleza, los tribunales &amp;c., el alférez may^or dijo en alta voz: Real9 real 9 real por el muy alto y muy poderoso Sr. Rey D. Juan vi nuestro Señor, lo que fue repetido por los reyes de armas y demas personas que rodeaban el estrado al son de una armoniosa música marcial. Al punto hicieron las salvas cor respondientes las fortalezas y los buques de guerra que se hallaban en el puerto, y…</t>
  </si>
  <si>
    <t>Rey, Vicente</t>
  </si>
  <si>
    <t>Vicente Rey</t>
  </si>
  <si>
    <t>…ez Romero, D. Luis Cla^ vareza, D. Juan Corvera y D. Josef Echániz. En álgebra'D. Manuel Rodrí guez Almeida. En geometría ios citados Almeída y Clavareza, D. Manuel María Riberos, D. Vicente Rey, D. Ramón Casal y D. Joaquín Clavareza. En trigonometría plana el mismo Clavareza, los citados Riberos y Rey, Don Josef Alonso y D. Josef Vicente Veiga. En trigonometría esférica los mismos Alonso, Veiga, Riberos, Rey, D. Joaquín Clavareza, D Felipe Martínez,…</t>
  </si>
  <si>
    <t>Reyes, Juan</t>
  </si>
  <si>
    <t>Juan Reyes</t>
  </si>
  <si>
    <t>…o de Cádiz, por procidencia dada an te su escribano mayor teniente .D. Elias Izquierdp y Payan, lia mandado citar y em plazar á la sociedad de Thornton y Power, de, Hamburgo, y .á D. Juan Reyes, co mo acreedores á la testamentaría concursada de D. Guillermo Barron, para que ocurran por sí, sus representantes, apoderados, herederos 6 personas autorizadas al percibo de las cuotas que se les han asignado en repartos hechos en el perentorio término de s…</t>
  </si>
  <si>
    <t>Rezabal, Manuel de Navarrete y</t>
  </si>
  <si>
    <t>Manuel de Navarrete y Rezabal</t>
  </si>
  <si>
    <t>…btuvo González Crespo, acordó adjudicarles un egemplar del citado Stoll, encuadernado como el de este opositor. ARTICULO DE- OFICIO. Efi atención á la notoria y antigua nobleza de D. Manuel de Navarrete y Rezabal, á sus enlaces con familias distinguidas y títulos de Castilla, rentas, méritos y, servicios personales, y á los de sus ascendientes, se ha servido S. M. concederle, á consulta de la Cámara, la gracia de título de Castilla, con la denominación de marques de T…</t>
  </si>
  <si>
    <t>Ribed, Eugenio</t>
  </si>
  <si>
    <t>Eugenio Ribed</t>
  </si>
  <si>
    <t>…, Benito Urraca , Guillelmo Ibañez, Fidel Guerendiain , D. Juan Pablo Ribed , Josef Abarruza, Pedro de Arbues Astrain, Manuel Santiago Dombrasas, Faustino Huarte , Luis Sagasti y D. Eugenio Ribed. En aritmética logró el primer premio Martin V idarte, y el segundo Hi pólito Inda; habiéndose sorteado entre.este y Josef Abarruza; y se acercó á merecerlo Josef Ealcon. En la clase de lectura ganó el primer premio Eulogio Sierra, y el segun do Martin Arizcu…</t>
  </si>
  <si>
    <t>Ribed, Juan Pablo</t>
  </si>
  <si>
    <t>Juan Pablo Ribed</t>
  </si>
  <si>
    <t>…á aquellos actos. En la clase de gramática castellana ganó el primer premio Venancio Huarte; y el segundo Próspero Barricnrte, habiéndose acercado á merecerlos D. Félix Barbería, D. Juan Pablo Ribed, Pedro Arguiñariz, Sebastian Suhit, Marcelino Arrivillaga y Juan Alfonso y Manuel Egozco. • En la escritura de primer orden se adjudicó el premio primero á Fran-r cisco Jriarte; y el segundo á Pedro Luis Campano , y se acercaron á mere cerlos Próspero Barrí c…</t>
  </si>
  <si>
    <t>Ribera, Bernardo</t>
  </si>
  <si>
    <t>Bernardo Ribera</t>
  </si>
  <si>
    <t>…n en el año de 1802 diferentes personas, co mo son: la Sra. Doña Francisca de Ayala y Cárdenas, viuda del teniente coronel D. Gines de Cozar; Doña María Ayala y Cárdenas, muger de D. Bernardo Ribera, vecinos de la ciudad de Palma; D. Manuel Felipe de Ayala; Doña María Tomasa de Ayala y Aviles, y su marido D. Francisco Camargo; Doña María de la Paz Suxbet y Ayala, viuda de D. Josef Trevani; D« Josef María Surbet y Ayala, pres bítero; D. Juan Agustín Surbe…</t>
  </si>
  <si>
    <t>Ribera, Hermenegildo Rodríguez de</t>
  </si>
  <si>
    <t>Hermenegildo Rodríguez de Ribera</t>
  </si>
  <si>
    <t>…ianza, cancelándose las que esten otorgadas; lo que, con cuanto se actúe y re suelva , les parará todo perjuicio como si fuese con su intervención y audiencia. Por providencia del Sr. D. Hermenegildo Rodríguez de Ribera, oidor de lá Real audiencia de Sevilla, y juez civil de la plaza de Cádiz, en los autos de testa mentaría de D. Tomas Daisemberger ¿ vecino y del Comercio que fue de aquella ciudad, y en orden á la pretensión de D. Ambrosio Alvarez Pardiñas sobre que se . dec…</t>
  </si>
  <si>
    <t>…espacha D. Baldomcro Moraleda, donde se admitirán las que se hicieren siendo arregladas. . A instancia de los interesados en la testamentaría del difunto D. Ignacio de Roo, por el Sr. D. Hermenegildo Rodríguez de Ribera, del Consejo de S. M., su oidor en la Real audiencia de Sevilla, y juez de lo civil de la ciudad de Cádiz, y presen cia del escribano publico del numero de ella D. Bernardo de la Calle, en 4 del cor riente mes se ha mandado la subasta de cuatro casas-solares,…</t>
  </si>
  <si>
    <t>Ribera, Juan de</t>
  </si>
  <si>
    <t>Juan de Ribera</t>
  </si>
  <si>
    <t>Diego de Saavedra Fajardo , y T&gt;. Alvaro Navía Osorio*. 7.0 D. Luís de Requesens, D. Bartolomé Leonardo de Argensola, D. Francisco Valles, D. Juan de Ribera, D. Juan de Palafox y Mendoza, y el Mtro. Fr. Luis Ponce de León: B.° D. Diego Mesía y Gueman , el Mtro. Juan de Avila, el P. Fr. Josef de Sígiienza, D. Diego Covarrubias y Leiva, Juan lírbina, y el P. Q. Tomas Vicente Tosca. (Se continuará.) Por providencia…</t>
  </si>
  <si>
    <t>Ribera, Manuel</t>
  </si>
  <si>
    <t>Manuel Ribera</t>
  </si>
  <si>
    <t>…ta de los suscriptores pagar el porte, y sigue abierta lá suscripción. Táífibien jé -hallan de véñtá' en dicha* librería los retratos dé los Reyés'párá dicha historia, satádós pór-D. Manuel Ribera;: :í;rr t Aforismos dé Boérh'aave Jrará cónodery cúrar 'las calenturas, dados’á luz en .latín por Máximíliánó Stoll, catedrático de medicina clínica en el’ho&amp;pital de Viena &amp;c., y traducido ¿1 castellano por él Dr. D. Antonio Lavedan, profesor de.medicina, y…</t>
  </si>
  <si>
    <t>Ribera, Martin Estevez de</t>
  </si>
  <si>
    <t>Martin Estevez de Ribera</t>
  </si>
  <si>
    <t>…al escuela del barrio del Car men calzado: á D. Aquilino Paloniiño, maestro de la Real escuela del barrio del Buen-Suceso, habiendo precedido sorteo por estar en igual censura con D. Martin Estevez de Ribera y D. Narciso Herranz: á D. Victoriano Pala cios, maestro de la Real escuela del barrio del Hospital general, habiendo precedido sorteo por hallarse en igual censura con D. Vicente García Galah y D. V ictoriano Molina: á D. Antonio dél Olmo, maestro de la Real escue la del barrio…</t>
  </si>
  <si>
    <t>Ribera, Pedro Díaz de</t>
  </si>
  <si>
    <t>Pedro Díaz de Ribera</t>
  </si>
  <si>
    <t>…en *ef Consejó supremode ía Gtierra á £&gt;: NicoIas María Réndon, Secretario de la Cámara ¿ este empleó á D. Jorge María dé la Torre t secreta rio de dicho tribunal; y su resulta á D. Pedro Díaz de Ribera , oficial ma^ yor de la secretaría de Estado y del despacho de la Guerra. r Por Real, resolución de.S. M., á consulta del p, 5^ ha 5seryido ponceder a* la. .vil la-de Cebolla la gracia que solicitó ce lebrar O n me 1 cado Jos viernes de cada semana*. El 18 de…</t>
  </si>
  <si>
    <t>Ribero, Josef del</t>
  </si>
  <si>
    <t>Josef del Ribero</t>
  </si>
  <si>
    <t>…, en tpdos los ramos que abrázala enseñanza, se 'adjudicaron al acabar lo sesión de ciada dia,1 precedida censura y calificación' de los maestros examinadores, á Jos siguientes: Á D. Josef del Ribero, maestro de la Real escuela del barrio de Sta. Cruz: ¿ D. Ildefonso Morales, maestro de la Real escuela del barrio de S. Nicolás: al Dr, D. Vicente Aso, presbítero, maestro de ía Real escuela del barrio de S.'Marcos: á D. Francisco Lorrío, maestro de la Real…</t>
  </si>
  <si>
    <t>Ribero, Juan</t>
  </si>
  <si>
    <t>Juan Ribero</t>
  </si>
  <si>
    <t>…. Félix Domingo Martínez 2 , Don Juan: Esteban de dEehezuria 20, D. Bernardo Pénelas 20, T). Antonio Na;yarro 20, D. Josef Antonio y D. Manuel María Díaz 16 ¿ D. Agustín Espi no y D. Juan Ribero 20 , D. Félix López 2c, D. Juan Nepomuceno Be llo 30, D. Víctor Lerin 15 , D. Juan Josef Fuertes 10, D. Antonio Oramas 10, D. J osef Pacanis y Nicolau 10, D. Juan Tomas Zaldarriaga 10} D. Josef Ignacio Tsquiagav 2o , D. Rafael Minteguiaga 15, D. Ramón Go mia…</t>
  </si>
  <si>
    <t>Ribero, Juan Gualberto del</t>
  </si>
  <si>
    <t>Juan Gualberto del Ribero</t>
  </si>
  <si>
    <t>…reno, abogado de la Real audiencia de Charcas; Doña María Mercedes Moreno, su hermana; D. Lorenzo del Ribero , capitán de milicias de caballería; Doña Antonia de Molina, su muger; D. Juan Gualberto del Ribero, su hijo; una niña de cinco años, su nieta, llamada Mi-* caela; D. Mariano Riberos, alférez de milicias; D. Josef Manuel Ortiz, Don Bernardo Chaves, D. Ramón Chaves y D. Faustino Velasco. ! ■ ' Mozos sueltos. Josef María Carrillo , Josef Manuel Limpias, Josef…</t>
  </si>
  <si>
    <t>Ribero, Lorenzo del</t>
  </si>
  <si>
    <t>Lorenzo del Ribero</t>
  </si>
  <si>
    <t>…o vincia ; D. Juan Lorenzo de Limpias, ex-cura de dicha provincia. x Seculares. D. Lorenzo Moreno, abogado de la Real audiencia de Charcas; Doña María Mercedes Moreno, su hermana; D. Lorenzo del Ribero , capitán de milicias de caballería; Doña Antonia de Molina, su muger; D. Juan Gualberto del Ribero, su hijo; una niña de cinco años, su nieta, llamada Mi-* caela; D. Mariano Riberos, alférez de milicias; D. Josef Manuel Ortiz, Don Bernardo Chaves, D. Ramón C…</t>
  </si>
  <si>
    <t>Ribero, Pedro de</t>
  </si>
  <si>
    <t>Pedro de Ribero</t>
  </si>
  <si>
    <t>…an, villa de Castel-Dasens, corregimiento de Lérida, D. Luis Calatayud, y conde de Sirat, D. Diego Raimundo Seguí, D.Bernard,ino Luis de Ardena y Darmus, D. Antonio de Villalbá, y D. Pedro de Ribero. Lo que se avisa de orden del,, Consejo para qué los respectivos interesados en los mencionados papeles acudan, si les conviniese , á recogerlos dei referido D. Vicente Trancho Gutiérrez, que vive ca-, lie del Prado, número 5. Serhallá Vacante el partido de m…</t>
  </si>
  <si>
    <t>Riberos, Manuel María</t>
  </si>
  <si>
    <t>Manuel María Riberos</t>
  </si>
  <si>
    <t>…ón Peón, D. Josef Rodríguez Romero, D. Luis Cla^ vareza, D. Juan Corvera y D. Josef Echániz. En álgebra'D. Manuel Rodrí guez Almeida. En geometría ios citados Almeída y Clavareza, D. Manuel María Riberos, D. Vicente Rey, D. Ramón Casal y D. Joaquín Clavareza. En trigonometría plana el mismo Clavareza, los citados Riberos y Rey, Don Josef Alonso y D. Josef Vicente Veiga. En trigonometría esférica los mismos Alonso, Veiga, Riberos, Rey, D. Joaquín Clavareza, D…</t>
  </si>
  <si>
    <t>Riberos, Mariano</t>
  </si>
  <si>
    <t>Mariano Riberos</t>
  </si>
  <si>
    <t>…enzo del Ribero , capitán de milicias de caballería; Doña Antonia de Molina, su muger; D. Juan Gualberto del Ribero, su hijo; una niña de cinco años, su nieta, llamada Mi-* caela; D. Mariano Riberos, alférez de milicias; D. Josef Manuel Ortiz, Don Bernardo Chaves, D. Ramón Chaves y D. Faustino Velasco. ! ■ ' Mozos sueltos. Josef María Carrillo , Josef Manuel Limpias, Josef Manuel Vaca , Josef Lorenzo Mansilla, Josef Joaquín Mercado, Bernardo Peinado, Jua…</t>
  </si>
  <si>
    <t>Ricafort, Mariano</t>
  </si>
  <si>
    <t>Mariano Ricafort</t>
  </si>
  <si>
    <t>…Tagle se separó del convoy en la línea. Idem 10 de Setiembre. El general en gefe del egército del alto Peni ha dirigido al Exento. Señor virey el oficio siguiente: „Excmo. Sr.: El brigadier D. Mariano Ricafort me entregó á mi llega da á este punto un sable de oro con vaina de lo mismo, que el ilustre ayun tamiento de la ciudad de la Paz dispuso remitirme como una prueba del afec to que le merezco: mas como yo no me conceptúo en el caso de usar una distinción tan pa…</t>
  </si>
  <si>
    <t>Rich</t>
  </si>
  <si>
    <t>…f cuartos.] *129 GACETA DE MADRID DEL MARTES 10 DE NOVIEMBRE DE 1818. m ESTADOS-UNIDOS DE AMERICA. Nueva-Yorck io de Setiembre. El correo de Boston trajo ayer la noticia de que el capitán Rich ha ma tado y cogido la gran serpiente marítima de que tanto se ha hablado en los periódicos. Parece que habiéndola clavado un harpon, -como se acostumbra hacer con los pescados de gran tamaño, huyó la serpiente con gran velocidad, siguiéndola la canoa en que…</t>
  </si>
  <si>
    <t>Rico, Juan Acedo</t>
  </si>
  <si>
    <t>Juan Acedo Rico</t>
  </si>
  <si>
    <t>…, otorgando las apelaciones que se interpusiesen para el mi Consejo en sala de Justicia, como estaba mandado en la citada Real cédula de de Mayo de 1770 ; cuya comi ion confirió á D. Juan Acedo Rico, del rhi Consejo, para-queda dosenw peñase ante un escribano de provincia, y de ello se expidió Real cédula en ii de Enero de 1774. En este estado se ha comunicado al mi Consejo por D. Juan Lozano de Torres, secretario de Estado y del despacho universal de Gr…</t>
  </si>
  <si>
    <t>Rico, Mariano</t>
  </si>
  <si>
    <t>Mariano Rico</t>
  </si>
  <si>
    <t>…adete D¿ Josef Ignacio Basadre, ambos de mi regimiento, que en medio de los mayores riesgos comunicaban mis órdenes con exactitud, y lo níismo el teniente de:dragones de Querétaro D. Mariano Rico, que con 20 hombres de su regimiento se bailaba á mi inmediación, de que le resultó ei caballo herido. ,,El teniente coronel D. Francisco Falla, los oficiales y realistas de esta villa se portaron con la mayor bizarría , dictando el expresado Falla sus dispos…</t>
  </si>
  <si>
    <t>Rin, Mauricio Justo del</t>
  </si>
  <si>
    <t>Mauricio Justo del Rin</t>
  </si>
  <si>
    <t>…dehesa y cerca acuda dentro déi término refe rido al juzgado de provincia del Sr. D. Vicente García C i vero, del Consejo de S. M., su alcalde de Casa y Corte,por la escribanía de D. Mauricio Justo del Rin cón, que se les admitirá siendo arregladas. ' iv En virtud de providencia del Sr. D. Joaquín Almazari, del Consejo de S. M., teniente corregidor de está muy heroica villa, se ha mandado sacar á pública subas ta, por término de ocho dias, una casa sita en esta…</t>
  </si>
  <si>
    <t>Rincón</t>
  </si>
  <si>
    <t>…ntos, sin embargo de hablarme bas tante enfermo , y de las acciones que han tenido el infatigable iití ayixlante capitán D. Diego Arguelles con Vergara en S. Carlos, y el teniente coronel Rincón en la Mesa del Rodeo, y yo en la pastoría de Colipa, en sus para petos y en los del rio de Misantla. „ Mañana al amanecer salgo para i^aulingo, á fin de efectuar por mi parte la combinación que he formado con ei señor Armiñan , y con la ma yor prontitud regre…</t>
  </si>
  <si>
    <t>Rincón, Antonio Amor y EX Manuel</t>
  </si>
  <si>
    <t>Antonio Amor y EX Manuel Rincón</t>
  </si>
  <si>
    <t>II°I rumbos los tenientes coroneles D. Antonio Amor y EX Manuel Rincón con dos secciones fuertes , y con el objeto de perseguir á los rebeldes sin dejarlos descansar; y como á las dos leguas de haber reconocido infinitas veredas que discurrieron, se encontró la sección del teniente coronel Amor con los rebel des dispersos que se…</t>
  </si>
  <si>
    <t>Rincón, Manuel</t>
  </si>
  <si>
    <t>Manuel Rincón</t>
  </si>
  <si>
    <t>…, adonde había marchado ayer , trayendo las mu niciones de boca y guerra que iba á buscar , sin haber tenido novedad en su tránsitQ. Después que llegó salió el de la. misma clase D. Manuel Rincón por el rumbo de S. Cárlos para continuar la persecucion.de los rebeldes, quemar .y arruinar todos los establecimientos que. tuviesen* y destrozar los parapetos que. ,tenian en aquella avenida : ahora que son las siete de la noche acaba de* regresar , habiendo…</t>
  </si>
  <si>
    <t>Rincón, Mauricio Justo del</t>
  </si>
  <si>
    <t>Mauricio Justo del Rincón</t>
  </si>
  <si>
    <t>…ere hacer postura y enterarse de las condiciones en que ha de celebrarse el remate, acuda dentro de dicho término , con tado desde 27 del pasado, por la escribanía de provincia de.D. Mauricio Justo del Rincón, donde se admitirán siendo arregladas, y les suministrará las noticias con venientes. _ Asimismo se subasta .por dicha escribanía, á voluntad de su dueño una casa, calle de Atocha , núm. 4, ma.nz.-5 , frente lias beatas de S. Josef, con 14500 pies de sitio, j…</t>
  </si>
  <si>
    <t>…uisiere mejorarla acuda á las 12 de la mañana del martes 14 del corrien te, que es el señalado para el remate, al juzgado de provincia del señor juez inter ventor, y escribanía de D. Mauricio Justo del Rincón. Quien quisiere hacer postura á una casa sita en el lugar de Carabanchel de aba jo en la calle que llaman del Cura,, inmediata á la plaza Mayor, propia del con curso de Eugenio Pingarron, difunto, vecino que fue de dicho lugar, que se vende judicialmente para…</t>
  </si>
  <si>
    <t>…cian en renta anual Hasta el año de 1807 12014 rs*. Quien qui siere hacer postura á dichos bienes raíces, juntos ó separados, acuda por dicho juz gado y escribanía de provincia de D. Mauricio Justo del Rincón, que sé les admiti rán siendo arregladas, y prestará las noticias y conocimientos que necesiten. * &lt; En el juzgado del alcalde ordinario por el estado noble de la villa de Haro, en la Rioja, provincia de Búrgos* obispado de Calahorra y la Calzada, y por'el of…</t>
  </si>
  <si>
    <t>…ado por el Sr. D. Vicente García Cavero, del Consejo de S. M. , su alcalde &lt;de Casa y Corte, que en el dia 15 de Julio próximo vuelvan á juntarse en la escri banía de provincia de D. Mauricio Justo del Rincón a. las cuatro y medía de su tar de. Y para que llegue á noticia de los que no han comparecido á las anteriores jun tas se indican sus nombres y apellidos , que son: O. Josef Muñoz de Pando D Fe lipe Carrasqueño, D. Josef de Torres, D. Severino Salazar, Doña M…</t>
  </si>
  <si>
    <t>Ríos, Narciso</t>
  </si>
  <si>
    <t>Narciso Ríos</t>
  </si>
  <si>
    <t>…ulado brigadier ; D. Eugenio Montesdeoca , id. sargento mayor. Infantería, D. Josef María Sosa, id. capitán; D. Miguel Loranca, id. teniente ayudante; D. Mariano Astorga/ ¡di id.; D. Narciso Ríos , id. id.; Miguel Somoza, sargento primero; Josef María Vargas, id. id¿; Josef María Gutiérrez; id. segundo; Martia García, id. id.; Ignacio Martinez, tambor; Josef Eduardo, cabo primero; Josef Julio, id.; Trifiidad Lo*-pez, id. segundo; Josef María Sérrano,…</t>
  </si>
  <si>
    <t>Rita</t>
  </si>
  <si>
    <t>…1803: solo se ha tenido noticia por varios sugetos de que fue asesinada por los fran ceses en la retirada de Ocaña; y en razón á tener bienes en dicha ciudad de Cádiz la referida Doña Rita, y haber autos pendientes sobre su adjudicación á legítimo heredero, se presentará este en el término de 40 dias en la expresada ciudad. Centón epistolario del bachiller Fernán Gómez de Cibdareal, y generaciones y 'semblanzas del noble caballero Fernán Gómez:…</t>
  </si>
  <si>
    <t>Ritschew, Nicolás</t>
  </si>
  <si>
    <t>Nicolás Ritschew</t>
  </si>
  <si>
    <t>…dischah dominador y; dueño de la Persia, queriendo restablecer la paz entre sus respectivos estados., han nombrado por plenipotenciarios, á saber: el Em perador de Rusia al Excmo. Sr. Nicolás Ritschew, su teniente general, gér neral en gefe del egército de la Georgia y del Cáucáso, comandante supre mo de la flotilla de guerra del mar Caspio, caballero de la orden de S. Alejandro-Newskí, dé la orden de Sta. Ana de primera clase, de la orden del archi-mártir…</t>
  </si>
  <si>
    <t>Riva, Ignacio Maza</t>
  </si>
  <si>
    <t>Ignacio Maza Riva</t>
  </si>
  <si>
    <t>…a; de, la izquierda y custo^ diando..el convoy-, untpinj,) o batía la mayoLfuerza con 50 caballos de Sierragorda, inclusos 10 realistas fieles de esa ciudad que mandaba el alférez Don Ignacio Maza Riva, y 40 infantes del regimiento de Zaragoza al . mando del teniente D. Martin, $antistéban. El resultado de esta gloriosa acción ha sido dejar en el campo 2$ muertos contados, y tres prisioneros heridos, que previos los auxilios cristianos rfüe¡rpn. fusilados e…</t>
  </si>
  <si>
    <t>Rívas, Félix de</t>
  </si>
  <si>
    <t>Félix de Rívas</t>
  </si>
  <si>
    <t>…rino Salazar, Doña María Josefa de Cuellar, Doña Josefa de Zurarriain-, D. Esteban Beuif, D. Cayetano Franques, Don Pascual Gisbert, D. Andrés de Ay ala &gt; las memorias de Várgas , D. Félix de Rívas, y representante del Excmo. Sr. duque de Medinaceli; previniéndoles que de no acu dir les parará el perjuicio que haya lugar. Quien supiere el paradero de D. Cristóbal Ignacio López de Cárdenas, que por el año de 1779 residía en América empleado de cabo de vi…</t>
  </si>
  <si>
    <t>Rivas, Gabriel</t>
  </si>
  <si>
    <t>Gabriel Rivas</t>
  </si>
  <si>
    <t>…ueron 31. ; ,,Por nuestra parre ha habido la sensible pérdida del teniente coronel del regimiento de Zaragoza D. Manuel Factor , el comandante del primer ba tallón de dicho cuerpo D. Gabriel Rivas, con 4 oficiales, un oficial y un ca-; dete muertos del batallón de Navarra, y otro oficial del regimiento de Toluca, y heridos 22 oficiales de varios cuerpo^, entre ellos algunos de mucha gravedad, y varios contusos, en que se comprende el brigadier D. Domin…</t>
  </si>
  <si>
    <t>Rivas, Ildefonso</t>
  </si>
  <si>
    <t>Ildefonso Rivas</t>
  </si>
  <si>
    <t>…n zelo de los presbíteros D. Agustín de la Pe-* ña y D Santiago Marino Jaime, como al manifiesto ertípeño que tomó en el particular, con evidente sacrificio de su propio peculio , D. Ildefonso Rivas, vecino de esta ciudad. Todo lo cual pongo en noticia de V. E. para su su perior conocimiento.</t>
  </si>
  <si>
    <t>Rívas, Mánu.eLLopez de</t>
  </si>
  <si>
    <t>Mánu.eLLopez de Rívas</t>
  </si>
  <si>
    <t>…perteneció ál concurso de í). Pedro Josef de Adame, y en virtud de. provi dencia del Sr. D. Martin de Gxástañaga, del Consejo de S. M. , su alcalde dé Casa y Corte, refrendada por D. Mánu.eLLopez de Rívas, escribano de provincia y co misiones, se cita, llama y emplaza á todos los acreedores censualistas al precitado concurso., que no se hayan mostrado parte últimamente, y entre ellos a! administra dor.ó apoderado. de las memorias de Doña Juana .Palomares f .pa…</t>
  </si>
  <si>
    <t>Rivas, Manuel López de</t>
  </si>
  <si>
    <t>Manuel López de Rivas</t>
  </si>
  <si>
    <t>…u dueño se vende una cas? y huerta;cercada en el lugar de Ca.^, rabanchel de abajo, con agua de pie y noria. Quien quisiere comprarla acuda á lf escribanía de provincia que egcrce D. Manuel López de Rivas, sita en el patio de la Real cárcel de corte, ó á la del número de D. Jacinto Gaona, sita en la calle Mayor. Se halla vacante uno de los magisterios de gramática qué están á cargo del ayun tamiento de la ciudad de Gerona, dotado en 375 libras catalanas anuale…</t>
  </si>
  <si>
    <t>…nuestro Señor lo tiene mandado en beneficio del público. En virtud de providencia del Sr. D. Martin de Gaztañaga,. del Consejo de S. M., su alcalde de casa y corte, refrendada de D. Manuel López de Rivas, escribano de provincia y comisiones, y del juzgado de comandancia de los Reales cuerpos de Ar tillería é Ingenieros de esta plaza, y á instancia del Sr. D. Antonio Guillelmt, bri gadier de los Reales cgércitos, como encargado por, S. M. de la dirección y adm…</t>
  </si>
  <si>
    <t>…eta. r &gt; : En virtud de providencias de 11 de Febrero próximo y 5 del corriente del Se ñor D. Martin de Gaztañaga, del Consejo de S. M., su alcalde: de Casa y Corteé refrendada de D. Manuel López de Rivas, escribano de provincia y comisiones dé la misma, y de los Reales cuerpos de Artillería é Ingenieros de esta plaza,f i ins tancia del señor brigadier de los Reales egércitos D; Antonio Guilielmi, como enf cargado por S. M. de la dirección y administración de…</t>
  </si>
  <si>
    <t>…ópez de Sálazar, que se admitirán las que se hicieren siendo arregladas. .En el juzgado civil del Sr. D. Martin de Gaztanaga, alcalde de Casa y Corte, y ¿scribanía de provincia de D. Manuel López de Rivas, se halla radicada la testamen taría de D. Joséf de la Dehesa, vecino y del comercio que fue en esta corte; y en1 virtud de junta general celebrada el i.° de Mayo anterior de todos los acreedores* que se mostraron parte en los autos de dicha testamentaría , s…</t>
  </si>
  <si>
    <t>…no de 30 dias, contados desde el 4 de Agosto del corriente año, se presenten por sí o por* medio de apoderado en la audiencia de dicho señor y escribanía de provincia que despacha D. Manuel López de Rivas á deducir la acción que les corresponda ; pre venido dé que no lo haciendo les parará ei perjuicio que haya lugar. Se halla vacante la escuela de primeras letras de la villa de Castro-Urdiales, una de las cuatro del mar Cantábrico, á cinco leguas de distancia…</t>
  </si>
  <si>
    <t>…ecino que fue de Aravaca, celebrada en 26 de Julio anterior ante el señor alcalde de la Real Casa y Corte D. Martin de Gaztañaga, y escribanía de provincia y comisiones de ella de D. Manuel López de Rivas, se acordó éntre otras cosas proceder á lai venta de las tierras, era y demás .edificios correspondientes á dicha testamentaría, si tuadas aquellas en los términos de Majadahonda, Humera, Pozuelo de Alarcon, y de la referida villa de Aravaca. Lo que se notici…</t>
  </si>
  <si>
    <t>…arán.') En virtud de providencias del Sr. D. Martin de Gaztañaga, del Consejo de S. M., su alcalde de Casa y Corte, refrendadas del escribano de proinncia y comisiones de la misma D. Manuel López de Rivas, se cita y emplaza por segundo y ultimo tér mino de 20 dias, contados desde la publicación de este aviso, á los actuales tenedo res de 27 vales Reales de 300 pesos, creación de Setiembre, señalados con los nú meros 24841, 25200, 26670, 27547, 27926, 27973, 29…</t>
  </si>
  <si>
    <t>…les parará el perjuicio que hubiere lugar en derecho. y En virtud de providencia del Sr. D. Martín de Gaztañaga , del Consejo de S. M.#' su alcalde de Casa y Corte, refrendada de D. Manuel López de Rivas, escribano de. provincia y comisiones de la misma, se cita de nuevo y emplaza á todos los legata rios é interesados en las mandas y dotes asignados en la ultima disposición testamen taria del difunto D. Francisco Suarez Valdés, caballero coinendado'r que' fue…</t>
  </si>
  <si>
    <t>…ya lugar. En virtud de providencia del Sr. D. Martin de Gastañaga, del Consejo de S. M., su alcalde de Casa y Corte, autorizada del escribano de provincia y comisiones de la misma D. Manuel López de Rivas, se ha acordado convocar á una junta general de todos los interesados y acreedores á la testamentaría de D. Francisco de las Barreras, vecino y del comercio que fue de esta corte, y ha señalado para ella el día 30 del corriente mes de Noviembre, á las nueve d…</t>
  </si>
  <si>
    <t>…encia dé 18 del corriente mes del Sr. D. Martin de Gastáñaga, del Consejo de S. M. , su alcalde de Casa y Corte, - refrendada del escribano de provin cia y comisiones de la 'misma D. Manuel López de Rivas ; se ha mandado- sacar á publica subasta , por término de 15 dias, el traspaso y venta de1 todas'dais maderas, enseres y efectos de un corral, sito en la calle de S. Bernabé, barrios de S.‘ Franr cisco, tasado todo, con inclusión de un carro de camella y un t…</t>
  </si>
  <si>
    <t>T2l6 En virtud de providencia clel Sr. D. Martin de Gastañaga, del Consejo de S. M., su alcalde de Ca^a.y Corte, autorizada del escribano de provincia y comisiones de la misma D. Manuel López de Rivas, y para pago de un acreedor, se ha mandado vender en pública subasta una porción de efectos de pasamanería, como son galones, bandas de las Reales Ordenes de Isabel la Católica y de la Concepción, listones de las mismas, flecos y otros diferentes, tasados tod…</t>
  </si>
  <si>
    <t>…todo gravamen. El que quiera hacer postura á todo lo demas, ó mejorar lo rematado, acuda ante ei señor alcalde de Casa y Corte D. Martin de Gastañaga, y escribanía de provincia de D. Manuel López de Rivas; en el supuesto de que está señalado para su remate el día 9 de Enero del año próxi mo venidero, á las 1 2 en punto, en la audiencia del mismo señor alcalde y citada escribanía de provincia. Por providencia del Sr. D. Josef López dei Pan, del Consejo de S. M.…</t>
  </si>
  <si>
    <t>Ro</t>
  </si>
  <si>
    <t>…sargento. 1 tambor., 3 cabos y 14 soldados. Isla Verde: infantería, 1 oficial, 1 sargento, 1 un tambor, 2 ca^ bos y. 14 soldados. Rio de la Miel: infantería, 1 cabo y 4 soldados. D. Ro drigo: infantería, 1 oficial, 2 cabos y 8 soldados. El Rodeo: infantería, 1 sargento, 1 cabo y 6 soldados. Torre de S. García: infanteríar 1 sargento, 2 cabos y 10‘soldados. Playa de Getares: infantería, 1 oficial, 3 cabos y 12 soldados. Cantera debajo de Gal…</t>
  </si>
  <si>
    <t>Ro, Joaquín Antonio</t>
  </si>
  <si>
    <t>Joaquín Antonio Ro</t>
  </si>
  <si>
    <t>…concede, contados desde su publicación, á D. Ma nuel Sánchez del Prado, D. Lorenzo Fernandez de León ,- D. Juan Lorenzo Sánchez Cueto, D. Luis Franco, Doña Librada Perez Escovar, D. Joaquín Antonio Ro mán, los Sres. Alzueta y Beratarrechea, D. Rafael Rodríguez, D. Juan de Dios Elias, los Sres. Bohe, hermanos y compañía, D. Mariano de Urbíeta, D. Josef Uhicon, D. Ignacio Suarez, D. Francisco Antonio Abadía, D. Mariano Gil y D. Josef Vilar, últimos tenedores…</t>
  </si>
  <si>
    <t>Ro, Tomas</t>
  </si>
  <si>
    <t>Tomas Ro</t>
  </si>
  <si>
    <t>…mis ideas, y el golpe habría sido. completo: si .eni la tarde del 23 no se hubiese mudado 0rtizn á otro rancho diverso. Él capi tán Campos sorprendió tan completamente al nombrado mariscal Tomas Ro dríguez, que queriéndose fugar en paños- menores, sin inas armas que un pu ñal , fue preso por el mismo Campos. Con una emulación, pocas veces vista se condujeron todas las partidas, habiendo dado muerte á ttés, cogido vi vos al indicado mariscal Rodríguez, c…</t>
  </si>
  <si>
    <t>Roaro, Corneüo</t>
  </si>
  <si>
    <t>Corneüo Roaro</t>
  </si>
  <si>
    <t>…lió mis órdenes , y por sus buenas disposiciones: lo son también los vecinos principales dél pueblo capitán D. Francisco Delgado, teniente Don Luis.Vieira, administradorde correos D. Corneüo Roaro, D. Camilo Cama» cho, D. AntonioRecalde, D. Manuel Herrero * D. Juan Larrondo y D. Vicente. Arana, por la prontitud con que facilitaron sus sirvientes, armas y caballos. y, Dios guarde á vmdL muchos años. Acambaro Enero 19 de 1818. = Ramon García y Reguera.z=…</t>
  </si>
  <si>
    <t>Rodea, Apolinario</t>
  </si>
  <si>
    <t>Apolinario Rodea</t>
  </si>
  <si>
    <t>•Menocal, teniente D. Mantiél Ortfzyy los graduados D. Pedro María, Ana ya, D. Luis Carrera, D. Ignacio Romero Pando y *D. Manuel González , al féreces D. Melchor Armenteros, D. Apolinario Rodea y D. Miguel Rodrí guez. Dragones de S. Luis: teniente coronel graduado D. Anastasio Bustamante, capitán graduado D. Felipe Mendez, teniente D. Manuel Muñoz, al féreces D. Pedro de Legarreta y D. Feliciano Guerra, y cadete D. Nicolás Gutiérrez. Dragones de Querétaro: alféreces…</t>
  </si>
  <si>
    <t>…laseñor; teniente graduado de capitán D. Jo-, sef García Marín , teniente D. Manuel Ortiz , y graduados D. Pedro Ana ya, D. Luis de la Carrera y D. Ignacio Romero Pando; alféreces D. Apolinario Rodea y D. Miguel Rodríguez. De S. Luis: capitán graduado de teniente co ronel D. Anastasio Bustamante; capitán D. Andrés Huete; teniente D. Josef Gaitan; alféreces D. Juan Lesaca y D. Feliciano Guerra. De S. Carlos: ca pitán D. Domingo Ugarte; alféreces D. Cesáreo Medellin y D. Mariano…</t>
  </si>
  <si>
    <t>Rodenas, Benigno</t>
  </si>
  <si>
    <t>Benigno Rodenas</t>
  </si>
  <si>
    <t>…navio jubilado D. Rafael Rodenas, del alcance vencido de sus respectivos sueldos, según resulta de certificación que al efecto ha expedido su hijo el comisario de guerra de marina D. Benigno Rodenas; y ha mandado S. Mi que se publique en la gaceta este rasgo de generosidad. ' Por el juzgado del Sr. E&gt;. Francisco Xavier de Ojeda, del Consejo de S- M. en el supremo de Hacienda, juez asesor general de la Real Casa y Patrimonio, se cita, llama y emplaza á to…</t>
  </si>
  <si>
    <t>Rodenas, Diego</t>
  </si>
  <si>
    <t>Diego Rodenas</t>
  </si>
  <si>
    <t>…o García Malo reside actualmente en la ciudad de Guadix, el de los del Marmolejo D. Vicente Ortiz Criado en el mismo Mármbléjo , en Alhama el médico director de los de esta ciudad D. Diego Rodenas, y en la villa de Grábalos él médico de los de Fitero D. Angel Sanz y Muñoz-----Durante las expre sadas temporadas de baños los médicos directores residirán en ellos, como el Rey nuestro Señor lo tiene mandado en beneficio del público. En virtud de providenci…</t>
  </si>
  <si>
    <t>Rodenas, Rafael</t>
  </si>
  <si>
    <t>Rafael Rodenas</t>
  </si>
  <si>
    <t>…TICULO DE OFICIO. El Rey nuestro Señor se ha servido admitir el donativo de 2© rs. qne hi zo en favor de la Real hacienda, antes de su fallecimiento, el contador de navio jubilado D. Rafael Rodenas, del alcance vencido de sus respectivos sueldos, según resulta de certificación que al efecto ha expedido su hijo el comisario de guerra de marina D. Benigno Rodenas; y ha mandado S. Mi que se publique en la gaceta este rasgo de generosidad. ' Por el juzgado…</t>
  </si>
  <si>
    <t>Rodrí, Carlos</t>
  </si>
  <si>
    <t>Carlos Rodrí</t>
  </si>
  <si>
    <t>…bre de Cámara de S. M., para que dentro del término de 30 dias, contados desde el de este anuncio, acudan ante di cho señor y escribanía de la Real sumillería de Corps, á cargo de D. Carlos Rodrí guez de Moya, por sí ó por medio de procurador con poder bastante á decir y ex poner de su derecho; prevenidos que pasado dicho término les parará el perjuicio que haya lugar. No siendo suficiente el numero de acreedores que,concurrieron a la junta de 14 de M…</t>
  </si>
  <si>
    <t>Rodrí, Luis</t>
  </si>
  <si>
    <t>Luis Rodrí</t>
  </si>
  <si>
    <t>…n de Dios Bu Ines ; para la dignidad de chan tre de la iglesia catedral de la Paz á D. Josef Benito Romero Soriauo , ca* nónigo de la misma ; y para la resulta que quedó vagante á D. Luis Rodrí guez de Lema: para la primera de las dos medias raciones nuevamente au mentadas en la iglesia catedral de Guamanga á D. Josef pastor de León-; y para otra media ración, vacante en la iglesia metropolitana de Charcas por ascenso de Dv Francisco de Chic lana- y…</t>
  </si>
  <si>
    <t>Rodrí, Manuel</t>
  </si>
  <si>
    <t>Manuel Rodrí</t>
  </si>
  <si>
    <t>…ernandez Villamil. Fueron examinados en aritmética Don Manuel Barbet, D. Ramón Peón, D. Josef Rodríguez Romero, D. Luis Cla^ vareza, D. Juan Corvera y D. Josef Echániz. En álgebra'D. Manuel Rodrí guez Almeida. En geometría ios citados Almeída y Clavareza, D. Manuel María Riberos, D. Vicente Rey, D. Ramón Casal y D. Joaquín Clavareza. En trigonometría plana el mismo Clavareza, los citados Riberos y Rey, Don Josef Alonso y D. Josef Vicente Veiga. En tri…</t>
  </si>
  <si>
    <t>Rodríguez</t>
  </si>
  <si>
    <t>…se á menudo con el enemigo. „ Serian las tres de la tarde cuando descubrí la vanguardia del teniente coronel D. Manuel Gómez de cosa de 30 hombres, y para cerciorarme des paché al capitán Rodríguez con seis hombres para que le diese parte *á-este gefe del punto que yo ocupaba ; y viste que se dilataba dejé dispuesta mí columna á las órdenes del teniente Yañéz, mientras yo pasaba á tomar las necesarias dé Gómez, y encontrando la tropa á media calle del p…</t>
  </si>
  <si>
    <t>…armas que un pu ñal , fue preso por el mismo Campos. Con una emulación, pocas veces vista se condujeron todas las partidas, habiendo dado muerte á ttés, cogido vi vos al indicado mariscal Rodríguez, cuyos hechos inicuos son demasiado saBidós , 4 capitanes- y 43 entre sargentos, cabos: y. soldados, el mayor :ñu»ero</t>
  </si>
  <si>
    <t>Rodríguez, Alfonso</t>
  </si>
  <si>
    <t>Alfonso Rodríguez</t>
  </si>
  <si>
    <t>…lerizas, cuya casa, en el estado que actualmente tiene de algunos desmantelamientos y deterioros, se halla tasada por el arquitecto teniente maestro mayor de policía de esta corte D. Alfonso Rodríguez en la cantidad de 523673 rs» vn., incluso en esta el valor del sitio que ocupa , y el de 4® ducados que vale el medio teal de agua diario que tiene de dotación, habién dose de rebajar las cargas con que se halla esta finca: una casa en Hortaleza, tasada por e…</t>
  </si>
  <si>
    <t>Rodríguez, Antonio</t>
  </si>
  <si>
    <t>Antonio Rodríguez</t>
  </si>
  <si>
    <t>…n de Barinas dónde sirve. i •Milicias de pardos de Valencia. Capitanes: D. Ramón Hidalgo, D. Ca simiro Colon , D. Fermín Pedraza y D. Pedro María. Tenientes: D. Hilario Nogueras , D. Antonio Rodríguez y D. Josef Amador han sido confirmados en sus empleos, y obtenido la nobleza personal. '■ Capitanes de las guerrillas de Barinas. D. Francisco Xavier Palmero fue confirmado en su empleo, con la nobleza personal y medalla de oro. Don' Teodoro García fue confirmado en su empleo,…</t>
  </si>
  <si>
    <t>Rodríguez, Benito</t>
  </si>
  <si>
    <t>Benito Rodríguez</t>
  </si>
  <si>
    <t>…lo hago á V. E¿ del capitán de zapadores , graduado de teniente coronel, gefe interino del estado mayor de esta división D. Sebas tian Díaz, y al teniente graduado adicto ál mismo D. Benito Rodríguez. A todos estos individuos los considero dignos de que recaigan en ellos las gracias^ que V. E. quiera dispensarles á nombre de S. M., como también á todos los' oficiales y tropa de mi división, pues cada uno de por sí lia pasado de los lími tes del deber. Dio…</t>
  </si>
  <si>
    <t>Rodríguez, Feliciano</t>
  </si>
  <si>
    <t>Feliciano Rodríguez</t>
  </si>
  <si>
    <t>…nombra-i dos, realzó la sobresaliente conducta , valor y zelo militar que les asiste y tienen tan acreditado en muchas y diferentes ocasiones ; añadiendo qué el ca pitán graduado D. Feliciano Rodríguez, que me acompañó como práctico en áquél terreno, se portó en las comisiones que le conferí, siendo una de ellas la de perseguir al enemigo: todo lo qué le servirá á vmd. de gobierno, para que si lo tiene á bien lo ponga én conocimiento del Coronel y comandant…</t>
  </si>
  <si>
    <t>…aban, y por no abandonar mi principal objeto, que era atacar.á los rebeldes del cabecilla Pablo Campos, que á mi vista estaban parapetados; sin embargo destaqué una partida con el capitán D. Feliciano Rodríguez por si lograba coger alguno para que me instruyese de la posición y fuerza de los enemigos. Efectivamente lo conseguí, pues á poco rato me trajo un prisionero, el que me confesó que con motivo de la noticia que tuvo Campos del Real de Zacoalpan, de que venían…</t>
  </si>
  <si>
    <t>…or no abandonar mi "princi pal objeto, que ejran los rebeldes del cabecilla Pablo Ocampo , que^ávmi .visra estaban parapetados: sin embargo., destaqué una partida ¿con el capitajp Don Feliciano Rodríguez por^si lograba coger á alguno para que me instruyese de la posición y fuerza de los enemigos. Efectivamente se consiguió mitin, pues á poco rato me trajo un prisionero,'quien me confesó que con motivo de la noticia que tuvo Ocampo de ese real que venían á ata…</t>
  </si>
  <si>
    <t>Rodríguez, Francisco</t>
  </si>
  <si>
    <t>Francisco Rodríguez</t>
  </si>
  <si>
    <t>…Miño 419 pesos, 2 rs. y 9 granos, correspondientes a Anto nio, María Antonia, Fernando, Juan de Dios y Francisco Rodríguez, residentes en la ciudad de Cádiz, hijos y herederos de D. Francisco Rodríguez, que falleció en Acapulco en el año de 1788, por cuyo líquido entraron en tesorería general en clase de depósito 7582 rs. y 29 mrs. vn.; é ignorándose el paradero de los interesados á esta testamentaría, se cita por medio de la gaceta y diario de esta/corte,…</t>
  </si>
  <si>
    <t>…nz, de Lebrija: Don Fraiieised1 González y D. Josef Martínez , de Sanlucar de Barrameda : D'. Josef Moreno, D. Manuel Felipe Caballero, D* Gaspar Angulo, D. Josef Gó mez Hormigo y D. Francisco Rodríguez, de Jerez : D. Josef Auñon, de Mo ren : D. Juan Aguado, de las Cabezas: el hermano Josef de la Cruz Menacho, de Puerto-Real: D. Juan Loustalet, de Cádiz: D, Agustín Fernandez, de Bornos: D. Juan Bolaños, de Zalamea: D. Pedro Romero Balmaseda, de Se villa; y D…</t>
  </si>
  <si>
    <t>Rodríguez, Josef</t>
  </si>
  <si>
    <t>Josef Rodríguez</t>
  </si>
  <si>
    <t>…del batallón de Barbastro y de la gente del pais se condujeron con el mayor valor y atrevimiento, habiendo rechazado á un enemigo muy superior que se lisonjeaba de destruirlos: el capitán D. Josef Rodríguez, y los tenientes D. Benigno Be raza y D. Mariano Lozcos se dis tinguieron por su osadía y la serenidad con que llevaron sus soldados al combate , por cuya razón los recomiendo particularmente á la consideración de V. E- por si se digna poner esta acción en co…</t>
  </si>
  <si>
    <t>…or este medio á po ner en práctica las benéficas providencias del Rey nuestro Señor, acaba de xecibir la primera remesa de instrumentos matemáticos y físicos encargados en París á D. Josef Rodríguez, dignísimo catedrático de la misma. Con el objetó de manifestar cuanto adelantan Jos establecimientos cuando.son prote gidos, y cuanto prosperará la universidad de Santiago teniendo la gloria y el * nlto honor de contar por protector é individuo suyo á S. A.…</t>
  </si>
  <si>
    <t>…aceta para satisfacción del interesado. Por Real resolución de la misma fecha, á consulta del Consejo supre mo de la Guerra, se ha servido S. M. conceder al licenciado en farmacia D. Josef Rodríguez, residente en la ciudad de León, el fuero militar y uso de uniforme de primer ayudante de Farmacia de egército, en premio de los servicios que ha hecho en las boticas militares en clase de segundo ayudante, en los seis años de la última guerra; declarando al…</t>
  </si>
  <si>
    <t>…hile : á Don Antonio María Izquierdo, fiscal de lo civil de la de Quito, la plaza de oidor de la misma audiencia, declarada vacante por la imposibilidad de poder pasar ~á servirla D. Josef Rodríguez ; y la fiscalía de lo civil de la expresada audien cia que aquel deja á D. Diego Martin de Villodres: últimamente la asesoría del gobierno y presidencia de Goatemala, vacante por ascenso de D. Joaquín Ibañez á oidor de aquella audiencia, á D. Josef Martínez d…</t>
  </si>
  <si>
    <t>Rodríguez, Juan</t>
  </si>
  <si>
    <t>Juan Rodríguez</t>
  </si>
  <si>
    <t>…te y Don personal. r i/'-rC v . ¡ -i. o-' \j ■ Segundo ayudante de1 cirugía del egército. D. Tomas Carrillo la no** bleza personal. . , : : - r - Segundos practicantes de cirugía. D. Juan Rodríguez la nobleza per sonal : D’.' i Francisco Ortega idémiy-D. RamoaRodriguez ídem. ^ Escuadrones de- guias del general juc han sido aprobados casus empleos. Cápitartfés’: Pedro Villásaha- y Máíxímíiiíiho-González/ Tenientes': Fabián Figueredó y Jósef Moron. Alfére…</t>
  </si>
  <si>
    <t>Rodríguez, Julián</t>
  </si>
  <si>
    <t>Julián Rodríguez</t>
  </si>
  <si>
    <t>…Apolinar Comendador, 2.0 á Casiano Gamez. En aritmética á Julián Rey. En doctrina cristiana á Salustia no Gutierre* y á Felipe Manzanares. De particular: Manuel Rodríguez, hijo de D. Julián Rodríguez , vecino de esta ciudad. Premios de las niñas de las cuatro escuelas que mantiene el Emo. Sr. car denal arzobispo de esta ciudad^ Escuela de Doña Clara Panlagua. En costura: á Dominga Hernández, á María Minaya , á Raimunda Perez y á María Sevillano. En leer y…</t>
  </si>
  <si>
    <t>Rodríguez, Manuel</t>
  </si>
  <si>
    <t>Manuel Rodríguez</t>
  </si>
  <si>
    <t>…aza á los demas acreedores graduados en el mismo lugar&gt; que lo son Dona Jo sefa María Rogibal, D. Francisco de Ayerbe, D. Domingo González Valdosera, ' Doña Manuela Martín Alonso, D. Manuel Rodríguez, D. Juan de las Fuentes, D. Julián de Arozarena, D. Manuel de Navacerrada, D. Lorenzo Tarsis y herma nos, D. Manuel de Iruegas, D. Josef Ignacio Gutiérrez, la casa de Iruegas y Gil, y D. Antonio Penaso, sus hijos, herederos ó sucesores, para que en el término…</t>
  </si>
  <si>
    <t>…ayor puntualidad por sus respectivos comandantes, me cabe la completa satisfacción de particfc par á V. S. la Imuerte de 4 rebeldes y 56 prisiotierós, entre-los que se cuen tan el coronel Manuel Rodríguez , que-habiendo f mudado su apellido supo niendo que era Gallardo, ofreció al granadero del Príncipe Susano Rincón, que le aprehendió, 300 pesos porque le libertase; los capitanes Francisco Lar rea , secretario de Bor ja, y comandante del Robledal3, y Juan Jos…</t>
  </si>
  <si>
    <t>Rodríguez, Marcos</t>
  </si>
  <si>
    <t>Marcos Rodríguez</t>
  </si>
  <si>
    <t>…arzo 8 de 1818. = Excmo. Sr. == Antonio Martínez. = Excmo. Sr. virey D. Juan Ruiz de Apodaca.” MEXICO. Oficio del teniente coronel y comandante de la línea del Sur de esta capital D. Marcos Rodríguez. .... ,,Excmo. Sr.: Tengo la satisfacción de comunicar, á la superioridad de V. E. que la demarcación que ha tenido la bondad de confiar á mi inmediato</t>
  </si>
  <si>
    <t>Rodríguez, Pedro Míllan</t>
  </si>
  <si>
    <t>Pedro Míllan Rodríguez</t>
  </si>
  <si>
    <t>…ulta vacante á D. Josef de Novoa y Parga: últimamente la ración que ha quedado vacante en la santa iglesia catedral de Durango- por fa llecimiento de D. Francisco de Paula Balda á D. Pedro Míllan Rodríguez. También se ha dignado S. M. conceder á D. Bartolomé Mosquera la pla za de oidor de la Real audiencia del Cuzco, que se halla vacante por ascenso de D. Pedro Antonio Cernadas á regente de la de Santiago de Chile : á Don Antonio María Izquierdo, fiscal de lo c…</t>
  </si>
  <si>
    <t>Rodríguez, Rafael</t>
  </si>
  <si>
    <t>Rafael Rodríguez</t>
  </si>
  <si>
    <t>…nz del Prado, D. Lorenzo Fernande^de León, D. Juan Lorenzo Sánchez Cueto, D. Luis Franco, Doña Librada Perez Escovar, D. Joa quín Antonio Román, los Sres. Alzueta y Beratarrechea, D. Rafael Rodríguez, D. Juan de Dios Elias, los Sres. Bohe, hermanos y compañía, D. Mariano de Urbieta, D. Josef Uhicon, D. Ignacio Suarez, D. Francisco Antonio Abadía, Doa Mariano Gil y D. Josef Vilar, últimos tenedores de 32 vales Reales; 15 de ellos de 150 pesos, creación de…</t>
  </si>
  <si>
    <t>…del Prado, D. Lorenzo Fernandez de León ,- D. Juan Lorenzo Sánchez Cueto, D. Luis Franco, Doña Librada Perez Escovar, D. Joaquín Antonio Ro mán, los Sres. Alzueta y Beratarrechea, D. Rafael Rodríguez, D. Juan de Dios Elias, los Sres. Bohe, hermanos y compañía, D. Mariano de Urbíeta, D. Josef Uhicon, D. Ignacio Suarez, D. Francisco Antonio Abadía, D. Mariano Gil y D. Josef Vilar, últimos tenedores de 32 vales Reales, 15 de ellos de 150 pesos, creación de E…</t>
  </si>
  <si>
    <t>Rodríguez, Redro Alonso</t>
  </si>
  <si>
    <t>Redro Alonso Rodríguez</t>
  </si>
  <si>
    <t>…r y escribir con propiedad, se rán premiados con otra medalla de plata de segunda clase.y la ortografía castellana de la Real academia española , ó.él catón político cristiano por Don Redro Alonso Rodríguez, siendo la mayor edad de. los que aspiren á ellos de xo años. &lt;¡\° Y cada ono de los 12 que mas sobresalgan en el texto y explicación de la doctrina cristiana por el catecismo de Ripalda, y leer con propiedad; con tal que su edad no sea mayor de ocho años, co…</t>
  </si>
  <si>
    <t>Rody</t>
  </si>
  <si>
    <t>…nchsiüastitil, de 74, capitán Torderem ; el Lubeck, de 74, capitán Srepanof; el Mercurio, de 44 , capitán Novilskox; el Patricio, de 44 , capitán Toloubief, y el Astrogele, de 44, capitán Rody. Necesitando algunos de estos buques repa rarse y abastecerse de agua y de víveres, se supone que la escuadra no saldrá para Cádiz hasta pasados 12 dias. Han empezado ya á equiparse los buques que deben ir á hacer des cubrimientos en el N. del globo. Dos de e…</t>
  </si>
  <si>
    <t>Rogamosa, Juan</t>
  </si>
  <si>
    <t>Juan Rogamosa</t>
  </si>
  <si>
    <t>…tubre de 1817 en el gran banco de Bahama sobre un arrecife al E. y S. del pe queño Isaac, poco conocido hasta ahora. La goleta mercante española nombrada Rosa, sn capitán y piloto Don Juan Rogamosa, que había tomado sonda en el veril por ii brazas de agua sobre arena, á los dos ó tres minutos dio de improviso dos sentadas de popa, y sondaron siete y ocho brazas-de agua fondo piedra; al momento volvió á tocar en dos brazas, y se desfondó el buque sin dar…</t>
  </si>
  <si>
    <t>Rojas</t>
  </si>
  <si>
    <t>95° el que le ha (Jado el de igual clase D. Antonio García Rojas, comandante del pueblo de Tangancícuaro, sobre el suceso que tuvo una partida que despachó el citado comandante Rojas en persecución de la gaviila del rebelde Gonzalos al cerro de Casas Viejas, punto de la provincia de Valladoüd. ,, Dios guarde á V. E. muchos años. Guadala’ara 26 de Enero de i8i8.=r Exemo. Sr. = Josef de la Cruz. =: Exemo. Sr virey D. Juan Ruiz de Apodaca.*'…</t>
  </si>
  <si>
    <t>Rojas, Albino</t>
  </si>
  <si>
    <t>Albino Rojas</t>
  </si>
  <si>
    <t>…e el comandante del destacamento de S. Josef, teniente del batallón infante ría de Celaya D. Valentín Vera, me da con fecha 7 del actual, consecuente á la aprehensión del titulado capitán Albino Rojas, con otros 6 rebeldes, en la hacienda de Sta. María, 2 fusiles, 3 machetes y 8 caballos, cuya gavilla tran sitaba en las inmediaciones de los destacamentos al norte de esta ciudad, co metiendo robos erí las haciendas y traficantes. „ De los 2 fusiles el uno l…</t>
  </si>
  <si>
    <t>Rojas, Amonio García</t>
  </si>
  <si>
    <t>Amonio García Rojas</t>
  </si>
  <si>
    <t>…ro de i8i8.=r Exemo. Sr. = Josef de la Cruz. =: Exemo. Sr virey D. Juan Ruiz de Apodaca.*' Parte del___ teniente coronel D. H ^Tuan Antonio Brizucla.___ ,, Exemo. Sr.: El teniente coronel D. Amonio García Rojas con fecha da ayer á las siete de la noche desde Tangancícuaro entre otras cosas me dice lo siguiente: ,, A las nueve de anoche mandé al teniente Franco al cerro de Casas Vie jas á sorprender á la gavilla de González, en donde logró coger 10 rebeldes, y ademas…</t>
  </si>
  <si>
    <t>Rojas, Antonio García</t>
  </si>
  <si>
    <t>Antonio García Rojas</t>
  </si>
  <si>
    <t>….® ,, Excmo. Sr.: El comandante militar de la villa de Zamora teniente coronel D. Juan Antonio Brizuela con fecha 11 del corriente me dice lo que sigue: ,, Excmo, Sr.: El teniente coronel D. Antonio García Rojas, con fecha 10 del corriente, desde Tangancícuaro entre otras cosas me dice lo que sigue; Los tenientes Verdusco y Franco con 60 hombres andan desde el sábado por los rincones de Purepero y Carapan en persecución del atrevido González y Adame que el viernes ro…</t>
  </si>
  <si>
    <t>95° el que le ha (Jado el de igual clase D. Antonio García Rojas, comandante del pueblo de Tangancícuaro, sobre el suceso que tuvo una partida que despachó el citado comandante Rojas en persecución de la gaviila del rebelde Gonzalos al cerro de Casas Viejas, punto de la provincia de Valladoüd. ,, Dios guarde á V. E. muchos…</t>
  </si>
  <si>
    <t>Rojo, Julián</t>
  </si>
  <si>
    <t>Julián Rojo</t>
  </si>
  <si>
    <t>…del barrio de S.'Marcos: á D. Francisco Lorrío, maestro de la Real escuela del barrio de Buenavista: á D. Tomas* Rodríguez, maestro de la Real escuela del barrio de S. Pascual: á D. Julián Rojo, maestro de la Real escuela del barrio del Car men calzado: á D. Aquilino Paloniiño, maestro de la Real escuela del barrio del Buen-Suceso, habiendo precedido sorteo por estar en igual censura con D. Martin Estevez de Ribera y D. Narciso Herranz: á D. Victori…</t>
  </si>
  <si>
    <t>Rolan, Josef María</t>
  </si>
  <si>
    <t>Josef María Rolan</t>
  </si>
  <si>
    <t>….cajle-ds Jas Carretas, y de Ranqps ^ carrera de . S. Gerónimo. • r ■ Nota. En la gacetadel martes 28 del pasado , ipági 418, Iín.2 2,donde dice D. Josef María Sioldau, debe decir D. Josef María Rolan................ _c............ — " I I ■ LA IMPRENTA REAL.</t>
  </si>
  <si>
    <t>Rolan, Vicente</t>
  </si>
  <si>
    <t>Vicente Rolan</t>
  </si>
  <si>
    <t>…lo baga presente á la superioridad del Excmo. -SrV-víréy, icómó asimismo da ¡intrepidez y- decisión de los capitanes- D.-EpitaCicf1 Sánchez y D/Juan Benito?'Fernandez?, tenientes D. Vicente Rolan y Don -Juan de Ariipudia / alférez D.^Dionisio Esquive! / yrdemás individuos que Velazquez recomienda, é igualmente á su ayudante el subteniente D. Josef Tamon. &lt;•’ . ,; Dios guárde á^VvS; muchos años:San Lbis de la Paz Junio-4 de xSiS.= -Jóséf Cristóbal Villaseúor…</t>
  </si>
  <si>
    <t>…icha cerca, y que el alférez del mis-r -mo Di. Dionisio) Esquivel lo verificase igualmente por la derecha con 20 ca ballos de ios realistas de Sánchez: que el teniente de Zaragoza D. Vicente Rolan reforzase con 10 infantes la guerrilla, dirigiéndome yo con el resto de la fuerza por el centro. / ,, Estos dignos oficiales cumplieron tan exactamente con las órdenes que les había comunicado, qué sin dejarme que desear, y atropellando con todos los obstácul…</t>
  </si>
  <si>
    <t>Roldan, Antonio</t>
  </si>
  <si>
    <t>Antonio Roldan</t>
  </si>
  <si>
    <t>…si convendrá enseñar á los niños la aritméticá en abstracto ó en concretó* y hasta qué grado, para no dilatar su instrucción según la clase de alumnos. El dia 23 de Enero de 1819 D. Antonio Roldan y D. Manuel Esforcia sobre si siendo preciso enseñar á los niños, la doctrina, cristiana y explicárse la, ¿ cuál será el método de esta explicación paca no confundir síi tierna ca^ pácidad ? ; El día 24 de Febrero D. Antonio del Olmo y D. Bernardino González sobre ¿cuántas son la…</t>
  </si>
  <si>
    <t>Roldan, Josef Alvarez</t>
  </si>
  <si>
    <t>Josef Alvarez Roldan</t>
  </si>
  <si>
    <t>…j*as de este méto do, qué habiendo costeado el catedrático seis medallas de plata para oremiar á los mas sobresalientes, y adjudicadas Jas dos mayores á Francisco Sánchez Cortés y D. Josef Alvarez Roldan, las dos* medianas á D. Eulogio Josef Martín de Castejon y Antonio Falcony las. dos. menores á ) uan Mena y Vicente Garda Paredes, dijo uno de los censores que se hacía injusticia á todos los demas niños, en atención al tino y acierto con que habían desempe ñ…</t>
  </si>
  <si>
    <t>Rom, Josef</t>
  </si>
  <si>
    <t>Josef Rom</t>
  </si>
  <si>
    <t>…oronel de artillería Sanchate ,Fanchet, y el de caballe ría Dominico Paduano, con otros varios, oficiales. „I.a nuestra consiste en 7 soldados muertos del batallón de la Reina, el teniente D. Josef Rom y subteniente D. Pedro Fernandez levemente heridos, con 14 soldados mas; del batallón de Clarines 5 soldados muertos, y el te niente D. Felipe Mor fe y 13 soldados heridos; de. las compañías de Cam pano 2 soldados muertos, y herido el teniente D. Juan Martíne…</t>
  </si>
  <si>
    <t>intrepidez del capitán D. Pedro Casals, y de lo$ tenientes D. Josef Rom y D. Josef Abreos, y el de los sargentos primeros Josef Luengo y Francisco Carraiedo, y el segundo Antonio Vázquez, el cabo primero Diego Mesa, y los granaderos Josef Lugo y Silvestre Pbnce t del de Clarines el capitán gra duado de teniente coronel D. Josef Chauran, el de igua…</t>
  </si>
  <si>
    <t>Román, Manuel Maatre y S.</t>
  </si>
  <si>
    <t>Manuel Maatre y S. Román</t>
  </si>
  <si>
    <t>…de un vales de 300 pesos de i.° de Setiembre de 1809. señalado con el número: 28137, á Don Juhñ Martin, tenedor de otro del mismo valor y creación, señalado con el número 25610, á D. Manuel Maatre y S. Román , que lo es de otro del propio valor y crea ción, señalado con el número 33929, á D. Alfonso Fernandez Cuenca, que lo es de dos de á 300 pesos cada uno de la creación de Enero de 1808, señalados con los números 116669 y 125824, para que en el término de 30 dí…</t>
  </si>
  <si>
    <t>Román, Manuel María Tapia y</t>
  </si>
  <si>
    <t>Manuel María Tapia y Román</t>
  </si>
  <si>
    <t>…COino subdirector de la 4oCíedad: 3e?presidia^ expejntesdont&amp;riunibrewedHcufso; d mo tivo y: la utilidad; dé !estosi;óxámei¡iést&lt; ^o¿e^tudá't .habiéndose presentado ¿os discípulos D. Manuel María Tapia y Román, D. Pablo Ramírez *D*P)edrode Ja Cuésta, D. ;GaBrddí de la Cál le’Maaía^ D. Luiss María de Glive ^ Di Josef Cano y Canga y D^ Antonio Fernandez, y sorteáddse.eñtrerellos ekórdeuly. Jas materias sobre! que debían r.seri Examinados ^ fexphcaíoiiír mwiúctoieiite…</t>
  </si>
  <si>
    <t>Romanillos, Benito Ortega</t>
  </si>
  <si>
    <t>Benito Ortega Romanillos</t>
  </si>
  <si>
    <t>…s Sras. Doña Juana Marichalar de Veraton y D oña Mariana Joven de Linares; y de doctrina cristiana y leer á D. Dio nisio Crespo, canónigo de esta santa iglesia, y vicario general, D. Benito Ortega Romanillos, dignidad de tesorero de la misma, D. Baltasar Salas*,,: también canónigo, y á los tres curas párrocos. Pero conociendo lo molesto que había de ser el examinar un número tan crecido de niñas, se eligieron por las maestras de las dos escuelas 16 de cada una de…</t>
  </si>
  <si>
    <t>RománzofF</t>
  </si>
  <si>
    <t>…TIEMBRE DE 1818. RUSIA. Petersburgo 11 de Agosto. Son infinitas las gentes que van á ver el bergantín el Rurik, que se halla ancladq en el Newa, enfrente .de la casa del canciller conde RománzofF. Este buque, que ha dado la vuelta al mundo, no ha perdido en este largo y ar riesgado viage mas que un hombre. Mr. de Kotzebue, gefe de esta expedi ción, que principalmente se propuso hacer descubrimientos en el N. O. de América, llego á una grande altura, e…</t>
  </si>
  <si>
    <t>Romeral, Car los Martin del</t>
  </si>
  <si>
    <t>Car los Martin del Romeral</t>
  </si>
  <si>
    <t>…ldetas D. Antonio Coca en Igualada; el de Caí das de Reyes D. Manuel Jacobo Fernandez en el misino pueblo; el de Sacedon D. Marcelino Sainz en el citado pueblo; el de Puerto-Llano D. Car los Martin del Romeral en esta corte calle de Atocha, pasadizo de la fon da , cuarto principal; el de Tiermas D. Antonio Turbica en Villel de Mesa; el del Molar D. Tomas Bermudez en Madrid, calle de las Huertas, frente á la del Lobo, núm. 9, cuarto bajo; el de Trillo D» Josef María…</t>
  </si>
  <si>
    <t>Romero, Alejandro Perez</t>
  </si>
  <si>
    <t>Alejandro Perez Romero</t>
  </si>
  <si>
    <t>…ón, á D. Juan Piqueras, subteniente del de infantería de Sevilla. Asimismo ha provisto S. M. las canongías vacantes; en la santa iglesia ca tedral de Granada, por fallecimiento de D. Alejandro Perez Romero, á Don Josef Sánchez Madueño , capellán párroco del tercer regimiento de Artillería: en la de Tortósa, por!fallecimiento de D. Juan Peña, á D. Francisco Soler, capellán del regimiento de caballería de España: en la de Segovja, por muefte dé D. Juan de Benito,…</t>
  </si>
  <si>
    <t>Romero, Francisco Rey</t>
  </si>
  <si>
    <t>Francisco Rey Romero</t>
  </si>
  <si>
    <t>…ria, acudirán á recoger el tomo 7.0 y pagar el 8.°, que está ^n prensa, á la hhrerí^ld# Quirós, calle de -Atocha. — También se ha abierto suscripción en Santiago én la librería de D. Francisco Rey Romero, donde se hallarán los tomos ,r siend,o( de cuenta;dq lqs..£uscnptores pagar, el porte. Sigue abier ta la suscripción. ‘ - ’ _ • *.^ , Práctica, de vida cristiana yleger^ioió^ df^cvjócjbn , dado \ luz por; D.: Antonio Oliva, segunda edición: un tomó en 8. cpp…</t>
  </si>
  <si>
    <t>Romero, Josef París y</t>
  </si>
  <si>
    <t>Josef París y Romero</t>
  </si>
  <si>
    <t>…ta. Cruz de Múdela á D. Josef Maceda : para la dé Mansiila de las Muías á D. Tiburcio Eguiluz : para la de Belalcázar á D. Juan Maríá Domínguez: para la del Viso, en la Mancha , á D. Josef París y Romero : para! ia de Villafranca del Vierzo á D. Josef García Alfonso, alcalde mayor de Villablino: para la de Torres á D. Leonardo de Veyan y Lartigaj y para la de Alcalá de los Gazules en comisión á D. Serafín Velazquez. El Rey nuestro Señor &gt; á consulta del Real…</t>
  </si>
  <si>
    <t>Romero, Josef Rodríguez</t>
  </si>
  <si>
    <t>Josef Rodríguez Romero</t>
  </si>
  <si>
    <t>…se principio por un papel alusivo al objeto, que leyó el primer maestro di rector D. Cayetano Fernandez Villamil. Fueron examinados en aritmética Don Manuel Barbet, D. Ramón Peón, D. Josef Rodríguez Romero, D. Luis Cla^ vareza, D. Juan Corvera y D. Josef Echániz. En álgebra'D. Manuel Rodrí guez Almeida. En geometría ios citados Almeída y Clavareza, D. Manuel María Riberos, D. Vicente Rey, D. Ramón Casal y D. Joaquín Clavareza. En trigonometría plana el mismo Cl…</t>
  </si>
  <si>
    <t>Romeron</t>
  </si>
  <si>
    <t>88o, ron el infame guerrillero Cuesta , que tantos daños lia causado en la provincia de Barinas; el coronel Blake, ingles ; el coronel Rueda , y el infame coronel Romeron, uno de los dos Romeros partidarios en Barinas,. . ' ,, Al mismo tiempo me avisa el coronel D. Sebastian de la Calzada, co mandante general de la quinta división, con fecha de 9 del actual desde el punto de Sabaneta, que ha cogido y pasado por las armas al re…</t>
  </si>
  <si>
    <t>Romo, Alejandro Aguilar y</t>
  </si>
  <si>
    <t>Alejandro Aguilar y Romo</t>
  </si>
  <si>
    <t>…ndrá de edad como unos 24 á 30 años, y hay noticia de que le vieron en Cartagena el año de 13. Se suplica á quien sepa de su paradero ó muerte que tenga la bondad de comunicarlo á D. Alejandro Aguilar y Romo, calle de Preciados, num. 14, cuarto entresuelo, entre el dentista y la modista. Se previene que interesa mucho el aviso á sus parientes. Del origen de las leyes, artes, ciencias y sus progresos en los pueblos antiguos; obra traducida del francés: cinco tomos…</t>
  </si>
  <si>
    <t>Roo, Ignacio de</t>
  </si>
  <si>
    <t>Ignacio de Roo</t>
  </si>
  <si>
    <t>…te de D. Simón Ruiz, que despacha D. Baldomcro Moraleda, donde se admitirán las que se hicieren siendo arregladas. . A instancia de los interesados en la testamentaría del difunto D. Ignacio de Roo, por el Sr. D. Hermenegildo Rodríguez de Ribera, del Consejo de S. M., su oidor en la Real audiencia de Sevilla, y juez de lo civil de la ciudad de Cádiz, y presen cia del escribano publico del numero de ella D. Bernardo de la Calle, en 4 del cor riente mes s…</t>
  </si>
  <si>
    <t>Roque</t>
  </si>
  <si>
    <t>-'habidt ea su primer matrimonio con Dolía María Ana de Paíazuelosj Doña Manuela de Herrera Cajiga, habida en su segundo con Doña Margarita de la Caji«¿ ga; D. Roque y D. Santiago de Herrera y Cevallos, habidos en su tercero y último matrimonio con Doña María de Cevallos; de la cual, en vista de la aprobación que ¿de ella &gt;se pidió por D. Francisco Josef Fernandez Heras, marido de la Doña Ma nuela.de Herrera Cajiga, vecinos del lugar de Caucedo en el valle…</t>
  </si>
  <si>
    <t>Roque, Josef</t>
  </si>
  <si>
    <t>Josef Roque</t>
  </si>
  <si>
    <t>…hijo de los expresados D. Josef Joaquín y Doña Ana María de Herrera, que era mudo de nacimiento, y en su defecto al que se le crease por la justicia de su domicilio; y asimismo á D. Josef Roque y D. Santiago de Herrera Cevallos, otros dos hijos del expresado D. Fernando de Herrera Carreto, cuyo des pacho se recogió, y no resulta haberse devuelto. Y ahora últimamente, á instancia de los hijos y herederos de los precitados D. Francisco Fernandez de Heras y de Doña Manuela de Herrera C…</t>
  </si>
  <si>
    <t>Ros, Salvador</t>
  </si>
  <si>
    <t>Salvador Ros</t>
  </si>
  <si>
    <t>…, magnitud y razón. D. Mariano Enrich: Sobre la cuadratura del círculo. D. Josef Alegret: Sobre trigonometría esférica. D. Narciso Albrador: De las secciones cónicas, la parábola. D. Salvador Ros: Sobre las mismas, las definiciones, y bellísimos teore mas y problemas de la elipse é hipérbola. En cada uno de los tres dias , concluidas las disertaciones, satisfizo cada alumno á las preguntas que se le hicieron , no con restricción á las materias de que…</t>
  </si>
  <si>
    <t>Rosa, Francisco Sanponts y</t>
  </si>
  <si>
    <t>Francisco Sanponts y Rosa</t>
  </si>
  <si>
    <t>Disertación sobre la explicación y uso de una nueva máquina para agramar cá ñamos y linos, inventada por los doctores en medicina D. Francisco Salvá y Cam pillo y D. Francisco Sanponts y Rosa, socios de la academia médico-práctica de J'a ciudad de Barcelona. La máquina' descrita en esta disertación ,¡ que se imprimió en esta corte en 1784, es á corta diferencia la misma que acaba de publicar como nueva en París Mr. Cristian, director del conservat…</t>
  </si>
  <si>
    <t>Rosario, María del</t>
  </si>
  <si>
    <t>María del Rosario</t>
  </si>
  <si>
    <t>…ones á una de las huérfanas de los militares ó patriotas que hubiesen muerto en defensa de la justa causa de la nación, ha cabido en suerte del primer extracto de la de este dia á Doña María del Rosario, hija del coronel D, Juan Porta, muerto , en el campo del honor. Mercurio de España. Setiembre de 1818. Véndese á 4 rs. en el despacho de la imprenta Real. Se suscribe en dicho despacho, y en las provincias en todas las ad ministraciones principales y agregad…</t>
  </si>
  <si>
    <t>Rosas, Josef María</t>
  </si>
  <si>
    <t>Josef María Rosas</t>
  </si>
  <si>
    <t>…a , Josef Git, Marcelo Mpnteisdeoca, Joset María Escarnida,. Carpió: Ayala, Justo Ayala y Luis'VeíáscoyJóítef María Avila, Germán Jardon y Josef María Rosales: son 53. Caballería. D. Josef María Rosas, titulado .capitán ; D. Josef María Velazquez, id.; D* Teadosio Rubí, id.; D. Cristóbal:Escalante^i id;;rp. Josfef Mamr Mén dez , id. teniente; Andrés Bernal, sargento; .Josef iMaríaVNava y/íd. /Anto^ nio Iturbe, id.; Marcelo; Camacho,vid. ;i Josef: Esquive!^…</t>
  </si>
  <si>
    <t>Rosas, Josef María de</t>
  </si>
  <si>
    <t>Josef María de Rosas</t>
  </si>
  <si>
    <t>Real armada D. Josef María de Rosas, que relevado del destino eventual de contador de la provincia marítima de S. Sebastian se restituía de ella á sü respectivo departamento del Ferrol: á su consecuencia se ha dignado decla rar, que cuando en el pueblo por donde pasen tales individuos haya depe…</t>
  </si>
  <si>
    <t>Rosenblad</t>
  </si>
  <si>
    <t>…DE SETIEMBRE DE 1818. SUECIA. Stockolmo 7 de Agosto. El Rey al salir para la Noruega nombró una comisión gubernativa com puesta del conde Gyllemborg, ministro de la Justicia; del conde Rosenblad, consejero de Estadodel barónCederstroem, gobernador de la capital, y gefe del estado mayor de la escuadra, y del consejero de Estado conde Moerner. El Rey lleva en su comitiva al conde Brahe y al barón Koskull, y el Príncipe Real en la suya al conde Posse. E…</t>
  </si>
  <si>
    <t>Ross</t>
  </si>
  <si>
    <t>…señalan corno punto dé teúnioñ él iesírécbó de Behring, - al5 éíiál:debe ir á pár&amp;r ‘’tódó paso qué se encuéntre en los mares del poloi Db$ de dichos'buqués ;■&amp; las órdetiéS» dél capitán Ross , habrán dé buscar él páso'por et estrecho de Dávis y laba-* hía de Baffin, y los ótros dos, al mando del.capitán Eúchan, deberán diri-‘ girse rectamente al polo por elmar de Spitzberg. „ Algunos escritores ingleses sé entregan ya á las mas lisonjeras ilusion…</t>
  </si>
  <si>
    <t>…cie de carnes que pueden conservarse, como también vestidos y muchas telas de algodón y lana. Los barcos están provistos ademas de redes y ar pones para" la pesca dé ía ballena—El capitán Ross entrará por el estrecho de Davis , y se dirigirá al O. según le permitan las circunstancias. El capitán Buchan irá* en derechura al Polo; y si logra llegar allá, se encaminará en se guida al estrecho de Behring, asi como el capitán Ross. Varios prácticos que…</t>
  </si>
  <si>
    <t>…assa-Sound, en las islas de Shetland, los dosbuques de que se componía la expedición inglesa destinada á descubrir un paso por el N. O. entre el Atlántico y el Océano pacífico. El capitán Ross reco noció perfectamente la bahía de Baffin, comprobando todos los descubrimien tos de aquel antiguo y'diestro navegante, que dió nombre á aquel mar inte rior: á excepción de algunos errores en cuanto á la longitud y latitud, las cartas geográficas sacadas de…</t>
  </si>
  <si>
    <t>1304</t>
  </si>
  <si>
    <t>…s quejas, que recibie ron los oficiales con mucha urbanidad, y pusieron remedio. Se hcbla mucho de la nieve roja, ó por mejor decir del agua de nieve de este odor que ha traído el capitán Ross de las costas de la bahía de Baf fin , en donde hay grandes llanos cubiertos de esta especie de nieve, á veces de un color subido, y otras de color de rosa. El agua que ha dado esta nie ve tiene casi el mismo color del vino de Oporto , y se están haciendo ex…</t>
  </si>
  <si>
    <t>Rovina, Rafael de</t>
  </si>
  <si>
    <t>Rafael de Rovina</t>
  </si>
  <si>
    <t>…os de seis medallas de piara que estaban preparadas con el siguiente lema: Premio d la juventud aplicada. finalmente sé. distribuyeron á los examinados Don Juan Ximenez de Muñana, D. Rafael de Rovina, D. Francisco Díaz, Don Blas Ballesteros, D. Mariano Jaén y D. Benigno Perez; habiendo sentido mucho la junta no tener arbitrio para recompensar á los demás. Madrid 11 de Setiembre. A R T I C V 1- 0 Ef R Q F T Q I Q. El R^%' nuestro Señor,, que se desvela ¡po…</t>
  </si>
  <si>
    <t>Rovina, Rafael’ de</t>
  </si>
  <si>
    <t>Rafael’ de Rovina</t>
  </si>
  <si>
    <t>…entado á ellos el catedrático D. Vicente Ramón Fernandez de Cisneros 1 7 discípulos que aspiraban á pasar á la uni versidad. Se dió principio al acto con una oración que pronunció D. Rafael’ de Rovina sobre el. origen, progresos y estado actual de la lengua latina: si guió á esto un certamen métrico, y después la versión de autores latinos en prosa y verso, con todo lo relativo á sintaxis, prosodia y principios de re tórica. Asimismo respondieron los jóven…</t>
  </si>
  <si>
    <t>Ru, Manuel Josef</t>
  </si>
  <si>
    <t>Manuel Josef Ru</t>
  </si>
  <si>
    <t>…banía de número de D. Jacinto Gaona y Loeches. A virtud de Real facultad cometida al Sr. alcalde mayor de la ciudad de Aígeciras, y en consecuencia de despacho librado por este al Sr. D. Manuel Josef Ru bio-, del Consejo de S. M., teniente corregidor de esta muy heroica villa, quien lo há cumplimentado por la escribanía del número de D. Juan Villa y Olier, se ha mandado volver á sacar á publica subasta por término de 20 días, contados desde ló dei corriente,…</t>
  </si>
  <si>
    <t>Rubio, Inocente Martin</t>
  </si>
  <si>
    <t>Inocente Martin Rubio</t>
  </si>
  <si>
    <t>…itarles á la- aplicación; Los premiados fueron los siguientes: En la Real escuela de dibujo y nobles artes r premio superior á D. Matías Lureña. En dibujo de cabezas: premio i.° á D. Inocente Martin Rubio,. 2.0 á D. Lorenzo de Francisco En extremos á D. Manuel de Peralta Malo. En perfiles mayores: i.° á D. Patricio Fresno, 2.0 á D. Andrés Bullido; En per files menores á D. Antonio de Castro. Em aritmética. á. D;. Blas Crespo..</t>
  </si>
  <si>
    <t>Rubio, IX Manuel Josef</t>
  </si>
  <si>
    <t>IX Manuel Josef Rubio</t>
  </si>
  <si>
    <t>…Bibaño, concejo de Llanes , en el principado de Asturias, la correspondiente facultad para celebrar un mercado en los domingos primero y tercero i de cada mes. Por providencia del Sr. IX Manuel Josef Rubio, del Consejo de S. M., y te niente de corregidor de esta muy heroica villa, refrendada dp su escribano del numero D. Jacinto Gaona y Loechea, se ha señalado el- domingo 23 del corriente, a las nueve de su mañana en la posada de S. S-, calle del Cármen, para u…</t>
  </si>
  <si>
    <t>Rubio, Joaquín Adan y</t>
  </si>
  <si>
    <t>Joaquín Adan y Rubio</t>
  </si>
  <si>
    <t>…iudad de Catatayud , para poder^üsar de la condecoración de la flor de Lis con que le ha agraciado S. M. Cris tianísima. Igualmente se ha dignado S. M. conceder el mismo permiso á D. Joaquín Adan y Rubio para usar de la propia insignia con que le ha condecorado el Rey de Francia. , A las seis y media de la mañana del dia 12 de Diciembre del año pró ximo pasado, murió en esta corte, su patria, á los 44 años, 7 meses y 29 días de su edad el Eterno. Sr. D. Agust…</t>
  </si>
  <si>
    <t>Rubio, Manuel</t>
  </si>
  <si>
    <t>Manuel Rubio</t>
  </si>
  <si>
    <t>…lla, y dejando, un fuerte cuerpo de infantería de reseryá en la plaza al mando del teniente coronel graduado D. Josef Leo nardo Tejada , y otro de caballería al del de igual clase D. Manuel Rubio, me dirigí al rastrillo de Silao, y tuve Ja noticia en el camino de que los ene migos Habían entrado por el de S. Antonio antes de que Falla se acercase, dándoseme parte á poco momento de haberlos ya desalojado; y sin embar go le reforcé con otra mitad de la…</t>
  </si>
  <si>
    <t>…teniente coronel Falla. „ Después de las $ de la mañana dió parte el vigía de que los bandidos se retiraban : en el momento hice salir el escuadroo de Querétaro con su coman dante D. Manuel Rubio, y el del Príncipe á las órdenes de su capitán Don Pedro Otaño, con el objeto de que hiciesen un reconocimiento, y previendo que el camino que los enemigos llevaban era de alturas, no tuve por conve niente el que los siguiesen; pues tomando alguna posición ve…</t>
  </si>
  <si>
    <t>Rubio, Manuel Josef</t>
  </si>
  <si>
    <t>Manuel Josef Rubio</t>
  </si>
  <si>
    <t>…á X). Juan Modesto de ja Mota ^ .alcajde. deí crímen más antiguo de ella. También .se ha servido S. M. conceder los honores; de oidor de la chancilíería dé Valíadolid al referido D. Manuel Josef Rubio; y los de alcalde del crimen der ■ la expresada audiencia de Extremadura á í). Leonardo Gil de la Cuesta*, fiscal deshonrado concejo.dfe la Mestav ; ’ , , Por Real ordeñ de i j de} corriente se ha- servido el Rey mandar que para todo el mes de Agosto, próximo…</t>
  </si>
  <si>
    <t>…f»ne-: gas, en el sitio qué llaman de Junquera, tasadas ambas en la cantidad de 3600 rs., 3puda en el término de 30. dias, contados desde eL .21 del corriente, á la audiencia del Sr. D. Manuel Josef Rubio, del Consejo de S, M., y teniente de corregidor de está tnuy heroica villa , y por la‘escribanía del numero de D. Jacinto Gaona y Xoeches. , ’ ^ Ensayo práctico de simplificar el estudio de las lenguas escritas , verificado sobre la inglesa para egemplo de tp…</t>
  </si>
  <si>
    <t>…o erial ó casa ruinosa, sita Jen esta corte, y su calle de Jacometrezo, señalada con el núm. 8, de la manz. 379, tasada en 17264 rs. vn. Quien quisiere hacer postura acuda ante el Sr. D. Manuel Josef Rubio, del Consejo de S. M., teniente corregidor de esta villa, y por la escribanía de su numero., que egerce D. Juan Raya, y ésta señalado para su remate el dia 21 del corriente , á las 1 2, en la audiencia del mismo señor. Se venden un censo de 192© rs. de capita…</t>
  </si>
  <si>
    <t>…de la im prenta Real. Se suscribe en dicho despacho, y en las provincias en todas las admi nistraciones principales y agregadas de correos. En virtud de Real facultad, cometida ai Sr. D. Manuel Josef Rubio , del Con;-, sejo de S. M., teniente corregidor de esta muy heroica villa, se saca á publica subas ta por término de 30 dias una casa-meson, titulado de la Herradura, sita en la calle de Toledo de esta corte, y señalada con el numero 32 de la manzana 109, tas…</t>
  </si>
  <si>
    <t>…citada escriban^, que. se, admitirán las que-se hicieren siendo arregladas; en la inteligencia que para dicha subasta se ha señalado el término de 30 dias. ror providencia dél Sr.D. Manuel Josef Rubio, del Consejo de S. M. » y te?* menté de corregidor de esta muy heroica villa, refrendada por su escribano del nume ro D. Jacinto Gaona y Loéches, fecha 5 del corriente, se cita, llama y emplaza á Don Jtlán Freiger y Cortada, ultimo tenedor del vale Real de 15…</t>
  </si>
  <si>
    <t>…ola de Carlos nr, del Consejo de S. M. en el Supremo de Almirantazgo, juez de comisión en el asunto, por ante.-el escribano de numero D. Claudio Sanz. En virtud de providencia del Sr. D. Manuel Josef Rubio , del Consejo de S. M., ' teniente corregidor de esta muy heroica villa , se venden para pago de una deuda las fincas siguientes , sitas -en;-.término de la villa de Yuncos: un olivar que llaman Juan Antonio, al camino de • Lominchar, de caber 34 6 olivas gra…</t>
  </si>
  <si>
    <t>…le de Jácometrézó , num. 8 V de la íúáñz. 3 79Y tasada en 17254 reales vellón, y dan por-ella 49 rs.y un vale Real de 600 pesos de Mayo. Quien quisiere hacer mejora áciida ante el Sr. D. Manuel Josef Rubio, del Consejo de S. M., teniente corregidor de esta müy heroica villa, por la escribanía de su níímero qué egerce D. Juan Raya, y está señalado para su remate el' día 2 5 de este mes á las 12 en la audiencia del mismo señor,- i / ' ■ . En la villá de Villavici…</t>
  </si>
  <si>
    <t>…Matías de Haro, y ambos tasados en 23400 rs. vn., á los que está hecha postura en 2G$,rs..á dinero efectivo, y seña lado su remate para el dia 30 del corriente en la audiencia del Sr. D. Manuel Josef Rubio, del Consejo de S. M., teniente de .corregidor de esta muy heroica villa. La persona que quiera mejorar dicha postura acuda ante dicho señor, y escribanía deí número de D. Anselmo Ordoñez, que se le admitirá la que hiciese. Se vende en esta corte á voluntad d…</t>
  </si>
  <si>
    <t>…pas vivas y 30 marras, tasada en 2170 reales, y dan por ella 1600. La persona que quiera mejorar dicha postura, ó hacerla de nuevo á las restantes posesiones, acuda al juzgado del Sr. D. Manuel Josef Rubio, teniente (corregidor de esta muy heroica villa , y escribanía del número de D. Ansel mo Ordoñez, dentro del término de 15 días, que se admitirán las que se hicieren. . Por providencia del Sr. D. Manuel Josef Rubio, del Consejo de S. M. y tenien te corregidor…</t>
  </si>
  <si>
    <t>y se talla tasada eh la cantidad de 162521 rs., y dan por ella no© á metálico; se ha señalado el día 28 del presente mes á las 12 de su mañana en la audiencia del Sr. D. Manuel Josef Rubio, del Consejo de S. M., teniente corregidor de esta muy, heroica villa. Se ha suspendido la oposición á la cátedra de música de la academia de Nobles artes de Logroño hasta el 1 2 de Octubre próximo; lo que se anuncia á los profeso res para que puedan dirigir…</t>
  </si>
  <si>
    <t>…mis mo, se ha vuelto a señalar para su. celebración y. el ^de las demás posesiones á que está, hecha postura, el día 22 del corriente, á. las 1 2 de su mañana» en la audiencia del Sr. D. Manuel Josef Rubio , del Consejo de S. M., teniente corregidor de esta muy heroica villa, y escribanía del número de D. Anselmo Ordoñez, La persona que quisiere mejorar aquellas; ó hacerla de nuevo á las que no la tienen acuda, ante dicho señor y expresada escribanía, que se le…</t>
  </si>
  <si>
    <t>…riginal del Tic i ano, y grabado por Seltna, á 10. — El Santísimo Sacramento con el Padre Eterno y el Espí ritu Santo, y varios atributos á 6. {Se continuara*} Por providencia del Sr. D. Manuel Josef Rubio, del Consejo de S. M., y'te»ten te corregidor de esta muy heroica villa, refrendada de su escribano del número D. Jacinto Gaona y Loeches, se ha mandado sacar á pública subasta una casa sita en;esta corte, y su calle de S..Pedro, barrio de S. Cayetano, níim.…</t>
  </si>
  <si>
    <t>…no hacerlo, sin mas ci tación ¿e sustanciarán los autos formados sobré el fallecimiento intestado del mismo, y les parará el perjuicio que haya lugar. En virtud de providencia del Sr. D. Manuel Josef Rubio, del Consejo de S. M., teniente corregidor de esta muy heroica villa, se ha señalado el miércoles 25 dei pre sente mes, á las 12 de su mañana, en la audiencia de S. S. para el remate de la ha cienda de campo, llamada de la Casa de la Vega, en el término del l…</t>
  </si>
  <si>
    <t>…nes de&gt;i&gt;¿. Manuel López* de Rivas, acuda'SÍ juzgado del nomina-1 do señor alcalde y citada escribanía, que se admitirán las que se propongan siendo» En virtud de providencia,dej. Sr. D. Manuel Josef Rubio, del Consejo de S. M., oidor honorario de la Real cnancillería de ía ciudad de Valladolid, y teniente cor-regidor de esta muy heroica villa , y por la escribanía del número de O. Pascual Se có, se han mandada sacar subasta, por 30 di^s,’.que principiarán á co…</t>
  </si>
  <si>
    <t>…a casa sita en esta corte, calle de S. Pedrobarrios de jSan Cayetano, num. 28 , maqzv.73 ,- tasada en 94666 rs. , se ha señalado el dia,4 de Di ciembre próximo en la audiencia dél Sr. D. Manuel Josef Rubio, del Consejo de S. M., y teniente corregidor de esta muy heroica villa, y hora de la una de su tardé. Por providencia de 20 del corriente, dada por el Sr. D. Josef López del Pan, del Consejo de S. M., alcalde de la Real Casa y Corte, refrendada del escribano…</t>
  </si>
  <si>
    <t>…este mes , ¡á. las nueve, en fe posada del Se ñor D. Angel Fernandez de los Ríos, del Consejó‘de S. M., teniente corregidor dé ésta muy heroica villa. * . i ■ Por providencia del Sr. D. Manuel Josef Rubio , teniente corregidor de esta muy heroica villa, y escribanía del número de D. Cristóbal de Vicuña , se ha mandado sa car á pública subasta la casa calle del Príncipe, núm. 5 , manz. 216, tasada en 182988 rs. , la cual comprende 2408! pies de sitio superficia…</t>
  </si>
  <si>
    <t>…cultad para po der celebrar un mercado los miércoles de cada semana; para lo cual se ha librado con fecha de 16 del pasado la oportuna Real provisión. En virtud de providencia del Sr. D. Manuel Josef Rubio, del Consejo de S. Al., teniente corregidor de esta muy heroica villa, se cita y emplaza á D. Agustín de Trápaga, D. bebastian Cardiel, Doña María Sexmilo» D. Miguel Sanz, D. Estéban delHoyo, D. Juan de Goya, y á los interesados en la testamentaría de D. Jose…</t>
  </si>
  <si>
    <t>…de dicho señor alcalde á las 1 2 de su mañana. La persona que. quisiere hacer mejora á dichas, casas, lo egecutará ante el referido se ñor juez y escribanía. Por; providencia dei Sr. D. Manuel Josef Rubio, del Consejo de S. M., y te niente corregidor de esta muy heroica villa, fecha 24 de del pasado, se han mandado subastar las casas y tierras siguientes: una casa en la calle Empedrada del lugar de Carabanchel de abajo, valuada en 8349 rs.: una parte de casa ,…</t>
  </si>
  <si>
    <t>…379» ta sada en 17254 rs. vn., y dan por ella la misma cantidad á pagar 4$) rs. en metálico, y el resto en vales Reales deducidas cargas. Quien quisiere hacer mejora acuda ante el Sr. D. Manuel Josef Rubio, del Consejo de S. M., teniente corregidor de esta muy heroica villa, por la escribanía de su numero que egerce D. Juan Raya, y está señalado para su remate el dia 19 de este mes, á las doce y media, en la audiencia del mismo Señor. Almanaque náutico y efemér…</t>
  </si>
  <si>
    <t>128o de 295566 rs. vn. La persona que quisiere hacer postura á dicha finca acuda al ex presado Sr. D. Manuel Josef Rubio por la citada' escribanía; en inteligencia de que está señalado para su remate el día 4 del próximo Enero en la audiencia , á las 1 2 de su mañana, y que no se admitirán proposiciones que no cubran la indicada suma,, conforme á la Real facultad. Por providenc…</t>
  </si>
  <si>
    <t>Rubio, Manuel Josef de</t>
  </si>
  <si>
    <t>Manuel Josef de Rubio</t>
  </si>
  <si>
    <t>…echo en los autos de testamentaría del D. Juan, pendientes en este tribunal militar; prevenidos que de rio verificarlo les parará el perjuicio que haya lugar. Por la audiencia del señor D. Manuel Josef de Rubio, del consejo de S M., y teniente corregidor de esta.muy heroica villa, y escribanía de D. Tomas María Man rique, se vende una tierra de siete fanegas y tres celemines, donde dicen Valdeusillos, término y jurisdicción de la villa del Casar de Talamanca, retasa…</t>
  </si>
  <si>
    <t>…que ha sabido desprenderse de sus intereses en obsequio de la Real Persona y del Estado; y que se publique esta en la gaceta para satisfacción del interesado. Por la audiencia dél Sr. D. Manuel Josef de Rubio, del Consejo de S. M., te niente corregidor de esta muy herpica villa, y escribanía numeraria de D. Tomas María Manrique, se vende una tierra de siete fanegas y tres celemines donde dicen Valdeusiilos, término y jurisdicción de la villa del Casar de Talanianc…</t>
  </si>
  <si>
    <t>Rubio, O. Manuel Josef</t>
  </si>
  <si>
    <t>O. Manuel Josef Rubio</t>
  </si>
  <si>
    <t>…so á D. Agustín Pascua, admi nistrador de la aduana del Callao de Lima, para usar de la misma condecora ción con que ha sido agraciado por S. M. Cristianísima. Per providencia del Sr. O. Manuel Josef Rubio , del Consejo de S. M., tenien te de corregidor de esta muy heroica villa, refrendada por su escribano del ; número D. Jacinto Gaona y Loeches, se ha señalado el dia 6 de Diciembre próximo en la posada de S. S., y hora de las nueve de su mañana, para la junta…</t>
  </si>
  <si>
    <t>Rubio, Ó. Manuel Josef</t>
  </si>
  <si>
    <t>Ó. Manuel Josef Rubio</t>
  </si>
  <si>
    <t>22$6 En virtud de providencia del Sr. Ó. Manuel Josef Rubio, del Consejó de S. M., teniente corregidor de esta muy heroica villa, se cita, llama y emplaza á D. Ignacio y D. Ramón del Oro f Paz, hermanos, cuyo paradero se ignora, como hijos y he rederos de Doña Francisca Javiera Paz y Tejada, vecina que fue de Madrid,…</t>
  </si>
  <si>
    <t>Rubio, Q. Manuel Josef</t>
  </si>
  <si>
    <t>Q. Manuel Josef Rubio</t>
  </si>
  <si>
    <t>…ya lugar. Para la junta de acreedores de los bienes que pertenecían á las testamentarías de X). Pedro López Martínez y Doña Paula Feliciana de Arenzana, su muger, ha se ñalado el-Sr. Q. Manuel Josef Rubio, del Consejo de S. M., teniente corregidor de esta muy heroica villa, el dia 18 del corriente á las hueve de su mañana en su posa da , ló que se hace saber á dichos acreedores para que concurran por sí ó persona á su nombre con suficiente poder; en inteligenc…</t>
  </si>
  <si>
    <t>Rublo, O. Manuel Josef de</t>
  </si>
  <si>
    <t>O. Manuel Josef de Rublo</t>
  </si>
  <si>
    <t>…ía al término de 15 dias, contados desde el siguiente al de su último anuncio las que tuvieren por conveniente, que se les admitirá siendo arregladas. En virtud de providencia del Sr. O. Manuel Josef de Rublo, del Consejo de S: M., teniente de corregidor de esta muy heroica villa, refrendadá del escribano del número D. Tomas María Manrique, se cita, llama y emplaza por término de 15 días, Contados desde el en que salga en la gaceta, á D. Juan Angel de Aramburu, á…</t>
  </si>
  <si>
    <t>Rueda</t>
  </si>
  <si>
    <t>88o, ron el infame guerrillero Cuesta , que tantos daños lia causado en la provincia de Barinas; el coronel Blake, ingles ; el coronel Rueda , y el infame coronel Romeron, uno de los dos Romeros partidarios en Barinas,. . ' ,, Al mismo tiempo me avisa el coronel D. Sebastian de la Calzada, co mandante general de la quinta división, con fecha de 9 del actual desde el punto de Sabaneta, que ha cogid…</t>
  </si>
  <si>
    <t>Rueda, Antonio</t>
  </si>
  <si>
    <t>Antonio Rueda</t>
  </si>
  <si>
    <t>…de que en el cerro de Zietepec se hallaban 100 rebeldes acaudillados por González: dispuse en el momento qué los capitanes D. Agustín Fuentes y D. Vicente González1, y el alférez D. Antonio Rueda con 60 dragones marcharan á batirlos, cua lesquiera que fuesen sus ventajas en numero y posición. Estos oficiales cami naron toda la noche con una lluvia tan tenaz como abundante»y yo con el resto de la caballería de mr mando y 20 infantes del regimiento de N…</t>
  </si>
  <si>
    <t>RufFo, Fabricio</t>
  </si>
  <si>
    <t>Fabricio RufFo</t>
  </si>
  <si>
    <t>648</t>
  </si>
  <si>
    <t>…ísima, su ministró, y secretario de Estado en el departamento dé Negocios extrangeros,: y presidente del Consejí» de Ministros; &gt; ,,Y S. M. el Rey del reino de las Dos Sicilias al Sr. Fabricio RufFo, prín cipe de Castelcícala, caballero gran cruz de la muy ilustre orden de S. Fer nando y del Mérito, caballero de la orden Real y muy ilustre de S. Xavier, ministro de Estado, gentilhombre de Cámara con egercicio^de dicha S. M., y su embajador extraordinario…</t>
  </si>
  <si>
    <t>Rufino</t>
  </si>
  <si>
    <t>…onde saldra prontamente para Crons— tadt en Rusia. Aun np se sabe el resultado de sus viages. ESPAÑA. ' ( Don Benito 22 de Junio. El profesor de latinidad y retórica de esta villa D. Rufino de la Peña y Arias, individuo de la Real academia latina, obtenida la venia del ayunta miento , y de acuerdo del alcalde mayor por $. M. de la misma D. Eusebio Alaría ¿ampie, celebró exámenes públicos de gramática castellana, latina y buena versión.el 20 de e…</t>
  </si>
  <si>
    <t>Rufino, Pedro</t>
  </si>
  <si>
    <t>Pedro Rufino</t>
  </si>
  <si>
    <t>…o por.no poder estar empleados en su arma. „El coronel.D. Francisco Warieta , gefe interino del estado mayor ge neral , y los tenientes adictos al estado mayor D» Manuel Caparros, D. Pedro Rufino, y D* Antonio López de Mendoza se han distinguido por su valor, y por la extraordinaria actividad con que acudieron á todas partes, contra yendo en este dia muy buenos servicios. „ El valiente comandante, accidental del batallón de Granada D. Agus tín Noguera…</t>
  </si>
  <si>
    <t>Ruibal, Francisco</t>
  </si>
  <si>
    <t>Francisco Ruibal</t>
  </si>
  <si>
    <t>…o Blasco, comandante militar de Nautla, al subteniente de fieles realistas de la compañía de Papantla D. Josef Cowley, y al sar gento primero de la sexta compañía de esta división D. Francisco Ruibal, por la eficacia que han tomado en cumplir mis órdenes, de que ha dependido en.gran, parte la totaFpacificacion del rumbo de Nautla, y la seguridad de aquel interesante punto. . ,, Dios'guarde á V. S. muchos años. Campamento en el pueblo nuevo de Tepecintla E…</t>
  </si>
  <si>
    <t>Ruiz</t>
  </si>
  <si>
    <t>…trangeros, y obligando á los restantes á retroceder al fuerte, meaos unos 50 qüe lograron escaparse por la corta fuerza que tenia aquel punro; pero enviando Liñan en su alcance al coronel Ruiz con un fuerte destacamento, condujo al campo 39, y dió muerte á otros varios, entre los cuales se cree compren dido el rebelde Pedro Moreno, por haberse encontrado la muía y silla en que iba montado. „ El general Liñan , aprovechándose de estos momentos , reu…</t>
  </si>
  <si>
    <t>Ruíz</t>
  </si>
  <si>
    <t>…caminos que pueda ¡ornar. ' h ? u , c ; „A1 empezar á dictar dichas disposiciones me confirmó también; la'fuga de los rebeldes la entrada en el fuerte de las tropas del mando del coronel Ruíz, que desde el Tigre fueron á reconocer, y pegaron fuego á todos los barracones , brechas y empalizadas. También de éstas tropas hice marchar 15 o hombres .por otra de las veredas que desde ;el fuerte van. hacia; eT ca mino que al parecer tomaban los rebeldes.…</t>
  </si>
  <si>
    <t>Ruiz, Joaquín</t>
  </si>
  <si>
    <t>Joaquín Ruiz</t>
  </si>
  <si>
    <t>…s -baños de Arnedrllo-, en Castilla la Vieja, se abren el i.° de Mayo, y se,cierran el último dia de Octubre. _ Las personas que quieran consultar con ej médico director de Bussot D. Joaquín Ruiz dé Lape sobre si podrji ,ó :ctp convenirle^ el beber aquella agua, ó bañarse en ella, y no salir de:sus xasas sin.él debido cono cimiento, le dirigirán sus cartas,francas de porté, al-puéblo de Albatera,donde residirá hasta qué lleguen las citadas épocas de u…</t>
  </si>
  <si>
    <t>Ruiz, Josef</t>
  </si>
  <si>
    <t>Josef Ruiz</t>
  </si>
  <si>
    <t>…ordenes, en que se hallaba el coronel del regimiento de Za ragoza brigadier D. Domingo Loaces; la segunda á las del brigadier D. Pe dro Celestino Negrete , y la tercera á las del coronel D. Josef Ruiz, que lo es del batallón de Navarra, las situó en puntos convenientes, estableciendo puestos de infantería y caballería para impedir las salidas de los sitiados, no permitirles que tomasen agua en las barrancas inmediatas, ni les entrasen otros auxilios. „ Abr…</t>
  </si>
  <si>
    <t>*37 la audacia de proponer el dia 13 se les admitiese una capitulación honorífica y ventajosa. Liñan les hizo contestar por medio del gefe de dia y del coronel de Navarra D. Josef Ruiz, que no pudieodo reconocer á ninguno de los que estaban en el fuerte como miembros de una nación beligerante, no podía con cederles capitulación alguna, y que se entregase» á discreción , concediéndoles hora y media de término para resolverse* Concluido este…</t>
  </si>
  <si>
    <t>…ellas tropas encinco secciones, la primera á las órdenes del coronel de dragones del Nuevo-Santander D. Francisco de Orramía , la segunda á las del coronel del batallón de Navarra D. Josef Ruiz, la tercera á las del teniente coronel D. Juan Rafols, comandante accidental del ifegimiento primero Americano, la cuarta á las de D. Angel Diaz del Casti llo , coronel del regimiento de Fernando vn de línea , y Ja quinta, compuesta de tropas auxiliares de Gu…</t>
  </si>
  <si>
    <t>…igre se habían aprovechado del movimiento de los rebeldes; y en efecto me cercioré muy en breve de que parte del* batallón ligero de Navarra y regimiento primero Americano1 con el coronel D. Josef Ruiz del primero, y el sargento mayor D. Juan Rafols del segundo, se ha bían introducido en la fortaleza , y se extendían á todos los puntos , arrollando á los insurgentes que encontraban en su rápida marcha hasta llegar al Tepeyac, adonde á prevención mandé yo al…</t>
  </si>
  <si>
    <t>Ruiz, Juan</t>
  </si>
  <si>
    <t>Juan Ruiz</t>
  </si>
  <si>
    <t>…tado á su superioridad la consideración que ^merecen. ,,Dios guarde á V. E. muchos años. TepecoáCuilco Octubre 21 de 1817.32 Excmo. Sr.=Josef Gabriel de Armijo. = Excmo. Sr. virey D. Juan Ruiz dé Apodaca.” Parte del teniente coronel D. Juan Isidro de Mar ron* j ,, Adjunto acompaño á V. S. para su conocimiento el parte original, qué con fecha de ayer me ha pasado el capitán graduado D. Bernabé Vilianue— va, relativo á la acción que en combinación co…</t>
  </si>
  <si>
    <t>…había dado á V. E. el que corresponde corno lo egecuto. „ Dios guarde á V. E. muchos años.TuIancingo 9 de Noviembre de 1817.S Excmo. Sr. = Manuel de la Concha. = Excmo. Sr. virey D. Juan Ruiz de' Apodaca.” (Se continuaran.) Murcia jo de Marzo. Concluyen los premios ofrecidos por la Real sociedad de esta capital. Ciencias y nobles artes. i.° Los tres discípulos de la Real cátedra de matemáticas puras, establecida por S. M. en esta capital, que dese…</t>
  </si>
  <si>
    <t>…s:que lo acompañaron. ¿ j: : u ; b n » b .V .cp - b o I ,, Dios guarde a V. E¿ muchos años. Val fédolid. Setiembre 36 dé 1817.ec Excmo.'Sr. = Josef de Castro. == Excmo. Sr. irirey D. Juan Ruiz dé Apodáca." Parte del comandante dé QiierehddroJ^. J°sef Alaría rucio de Olmos. „ Habiendo; tenido noticia /por uno dé los I confidentes que téngb en estos alrededores de; que una gavilla cortá dé rebeldes debía dormir anoche eñ los ranchos de la cuesta de;…</t>
  </si>
  <si>
    <t>…o Ortiz , cuyos reos quedan á la disposición de V. E. . Dios guarde á V. E. muchos años. Teloloapan 4 de Enero de 1818.=: Excmo. Sr. er Josef Gabriel de Armijo. = Excmo. Sr. virey D. Juan Ruiz dé A-podaca;” i ■* - ■ S.-E. ha recibido con la mayor satisfacción tan interesantes .noticias, que dejan por el rumbo del sur libres las provincias que los bandidos tejiian.. ti ranizadas y aniquiladas; y en prueba de su impoitancia , y del aprecio con que la…</t>
  </si>
  <si>
    <t>…la cor tadura prin¿ip*l4asrarmaky;muñicionesj querraian. í ¿¿En ie^iíida'prestaroti^él jurametit.o:deiñdelidad correspondiente, y con migo gritaron due^o viva el Rfjty el Exorno. Sr. D. Juan Ruiz de, Apa* daca, ¡manifestando el mayér regocSjpoy .adhesión i «después pasamos á la iglesia: parroqujal ,' dondé se dantp el 3y J3*air»con fa solemnidad posible en acción; dccgradasblDios' de :k&gt;S egéxeitosipor Ja .quasfeháiservido dispensarríos en ir proporci…</t>
  </si>
  <si>
    <t>…te á V. E.‘para «su superior conoció miento. • y ,, Dios guarde á V. E. muchos años. Campo sobre Jaujilla 3 de Febrero de i8i8. = Excmo. Sr.srMatías de Aguirre. = Excmo. Sr. virey D. Juan Ruiz ^ yde Apodaca.’* ; _ . y;'/; ■ S. E. ha mandado dar las gracias en nombre del Ráy nuéstro Señor al Sargento mayor D. Josef dé Castro por su cuidado / y al coroñeí D/Matías Martin y Aguirre por.sus útiles disposiciones;-previniendo á* este géfé fas dé al tenie…</t>
  </si>
  <si>
    <t>…ajado en todo el sitio. Dios guarde á V. E. muchos años. Fortificación de Xaujilia 6 de Marzo de 1818 á las 8 de la mañana. = Excelentísimo Sr. = Matías Martin y Aguirre. = Excmo. Sr. D. Juan Ruiz de</t>
  </si>
  <si>
    <t>…dose entre estos los machetes , pues algunos carecen de esta arma. ,, Dios guarde á V. E. muchos años. Querétaro Enero 28 de 1818 — Excmo. Sr. = Rafael Bracho. =: Excmo. Sr. virey D. Juan Ruiz de. Apodaca.” Parte del sargento Dámaso Carvajal. , ' . ,,.Én el día de hoy á las tres de. la mañana .me qvisaron que 80 rebeldes estaban robando los ranchos de Calamandra: ai instante salí,con 23;hombres en persecución de'ellos , y les di alcance en Santa Ri…</t>
  </si>
  <si>
    <t>…erencia ambos documentos por haberse distinguido. , *, Píos guardeá V. E. muchos años. Chilpáncingo 23 deiFebrero de 1818;== Excmo. Sr.=Josef Gabriel de Armijo. = Excmo. Sr. virey D. Juan Ruiz dé Apodaca.” Parte del teniente coronel JD. Juan Isidro de Marrón. ;.f!i.,,,Xas armas de nuestro-Soberano, siempre victoriosas y manejadas; por lo® valientes oficiales y .dragones que tengo la gloria de mandar, dan una rele^amé prueba de que. ellas, .solas ‘s…</t>
  </si>
  <si>
    <t>…migo y. des truyen sus planes de reforzarse; 'I ,,Dios guarde á V. E. muchos años. Chiípancingo Febrero 23 de t8i8. =r 'ExCnio. Sr.cr'Joséf Gabriel de Armijoi = Exento; Sr. ’virey D. Juan Ruiz de 'ApÓdaca.^ ” : . : • *- ¿'Ó *&gt; . o*-/;'-: /.■ f. - , . i P^rt#- del\utiiertte coroml XyiuTManl Isidro de Marrón, / „ Acompaño á V. S. para su conocimiento y satisfacción el parte original^</t>
  </si>
  <si>
    <t>Ruíz, Juan</t>
  </si>
  <si>
    <t>Juan Ruíz</t>
  </si>
  <si>
    <t>…con que sirve dicho indultado Pío González con la partida de su mando. Dios guarde á V. E. muchos años. León Marzo de i8i8&gt; = Exemo. Sr. == Antonio de Linares. = Exento. Sr. virey D. Juan Ruíz deApodaca."</t>
  </si>
  <si>
    <t>…para las gracias que V. E. tenga por conveniente concederles. Dios guarde á Y. E.. muchos' años. Guadalajara 9 de Abril de 1818. rs Excmo. Sr.bzJosef de la Cruz.=Excmo. Sr. v.irey D. Juan Ruiz def Apodaca.’! Y Parte del captan D, Luis Crespo, \ ,,Excmo. Sr.: A las ocho y media de la mañana del día de ayer se rae dió parte que dos insurgentes se llevaban de las, inmediaciones de la hacienda de Sta. Ana lás muías del tren de artillería de esre pueblo…</t>
  </si>
  <si>
    <t>…ticipo á V. E, para su. superior y debido conocimiento. , . : ,, Dios guarde á V- E¿ muchos años. Zacatecas Junio. i.° de 1818.= Excmo. Sr.= Josef de Gayangos. = Exorno. Sr. virey D. Juan Ruiz de-Apo^ daca.’* ' Barcelona 28 de Noviembre. " l;r Los PP. de las Escuelas Pías de esta ciudad ansiosos de corresponder á I* Real confianza de S, M. en la educación de la juventud , de que se hallan eiir* cargados!, dieron de ello prueba aL^pubUco presentando…</t>
  </si>
  <si>
    <t>…V. E. ínterin recibo les partes. ; , L ,• • •’ ,, Dios guarde ’á.V, E. muchos años. WJadolid A,bril ' 27 :jde¿ 1818. == Excmo. Sr. = Matías Martin y Aguirre. = Excmo. Sr. virey , D. Juan Ruiz *de Apodaca.” . ■, . ■ .. ,;' s;..........</t>
  </si>
  <si>
    <t>…do en los destacamentos y guarniciones de la pro vincia. ,, Dios guarde á V. E. muchos anos. Valladolid Junio 24 de 1818. = Excmo. Sr. = Matías Martin y Aguirre.= Excmo. Sr. virey D. Juan Ruiz de ■Apodaca.’* , i ■ QUERETARQ. Oficia del coronel y comandante general D. Francisco de Cxuizarnotegui. ,, Excmo. Sr.: No ha ocurrido noyedad alguna en la comandancia general de mkqargo en la présente semana; lo que elevo á V. E. en debido cumpli miento á su…</t>
  </si>
  <si>
    <t>Ruiz, Juan Antonio</t>
  </si>
  <si>
    <t>Juan Antonio Ruiz</t>
  </si>
  <si>
    <t>…en la misma calle y casa. , Se desea saber el paradero ó existencia de D. Josef Ximenez y D. Alberto Mo reno , que dijeron ser vecinos de la ciudad de Córdoba, como, también el de Don Juan Antonio Ruiz, que en el año de 1809 residía en la ciudad de Murcia. Quién tuviere noticia de dichos sugetos se servirá avisarlo á D. Francisco Vittini Villamarin , oficiaL en la principal de Correos de Cádiz,quién dará á dicha persona, ba jo la correspondiente certeza, 69…</t>
  </si>
  <si>
    <t>Ruiz, Manuel Antonio</t>
  </si>
  <si>
    <t>Manuel Antonio Ruiz</t>
  </si>
  <si>
    <t>16t puntóse á la vísta de todos las obras de los que debían ser premiados, se pasó á la adjudicación; y como se encontrase igualdad de mérito en los maestros de primeras letras D. Manuel Antonio Ruiz y D. Antonio Domínguez Car rillo, se sorteó entre ellos el primer premio, y el tercero se adjudicó á tos PP. Fr. Lorenzo Valverde y Fr. Francisco Cejudo, del orden de S. Bernardino , que fueron también hechos socios de mérito, lo mismo que se hizo con el preceptor de latinidad el P…</t>
  </si>
  <si>
    <t>Ruiz, Mánuel Antonio</t>
  </si>
  <si>
    <t>Mánuel Antonio Ruiz</t>
  </si>
  <si>
    <t>…abiendo recaído los* cuatro de los maestros de primeras letras de 600rs. el primero, de 300 el se gundo , y de 200 cada uno de los dos restantes por este orden, en los profe sores D. Mánuel Antonio Ruiz, D. Pedro Pineda, P, Fr. FráiicismReve na y Fr. Joaquín López, dé observantes de S. Francisco, con título de «ocios* de mérito a estos dos religiosos, y el último á D. Vicente Berguillos. Los dos premios de 50 rs. vn. el uno y de 20 el otro para los dos discí…</t>
  </si>
  <si>
    <t>Ruiz, Pió María</t>
  </si>
  <si>
    <t>Pió María Ruiz</t>
  </si>
  <si>
    <t>…de á V. E. muchos años. Cuartel general de Oaxaca Abril 3 de 18 i 8'. = Excmo. Sr. =: Melchor Alvarez. = Excmo. Sr» virey D. Juan Ruiz de Apodaca.” ZITACUARO. Oficio del coronel y comandante D. Pió María Ruiz. ,,Excmo. Sr.: En esta demarcación de mi mando no ha ocurrido otra cosa en la semána anterior , que haber recorrido una partida del destacamento de Tu~ santla el pueblo de Tiquicheo y estancia de Apapacindan, y otra del de Taximaroa por el rumbo ae la sierra…</t>
  </si>
  <si>
    <t>Ruiz, Simón</t>
  </si>
  <si>
    <t>Simón Ruiz</t>
  </si>
  <si>
    <t>…Julián Herreros, tasada en 54881 rs. La persona que quisiere hacer postura acudirá dentro de dicho término por la audiencia del citado señor y escri banía de provincia vacante de D. Simón Ruiz, que despacha D. Baldomcro Moraleda, donde se admitirán las que se hicieren siendo arregladas. . A instancia de los interesados en la testamentaría del difunto D. Ignacio de Roo, por el Sr. D. Hermenegildo Rodríguez de Ribera, del Consejo de S. M., su oidor e…</t>
  </si>
  <si>
    <t>RUlZ, Juan MaxLmo</t>
  </si>
  <si>
    <t>Juan MaxLmo RUlZ</t>
  </si>
  <si>
    <t>…a parroqUl~~de ~te npll,1bre ,.,a {as ~c~o . .qe ·l,a,man~~~~ Los ,Interesados deb,erán presenta~se a:~~~s para'!a.liqui~ciolÍde s~'creditos ~á·])~·Jos~ro&lt;.)rt~,.dé .. ;lJérbbso y D. Juan MaxLmo RUlZ, que vIVen, el prImero calle de la Espada "nUI1l. L", cuarto principal; y ,el .seg~npo c~Ue ;df~ Vient9. IlÚl~. 1,2 ;' ;tal~l~ie~ cua.r,to princip~l, síndie.os del ,ref~rtdo. con~urso ,i com:~101!a~Os jll efe~~~ ;\ ep.. .t~tellgencta de que llegad,? él c~tado…</t>
  </si>
  <si>
    <t>Rusia, Constantino de</t>
  </si>
  <si>
    <t>Constantino de Rusia</t>
  </si>
  <si>
    <t>…á los pobres, y solicitan por medio de circulares la cooperación de los vica rios y de los curas. PAISES-BAJOS-UNID OS. Brusélas 20 de Noviembre. Ha llegado á esta capital el gran duque Constantino de Rusia. Los diarios de hoy contienen varias adicionen hechas á la sesión de la se gunda cámara de los Estados generales celebrada ayer 19, en que se examinó la ley relativa á las milicias. Mr. Plaschaet pronunció un discurso, del cual copiamos los pasages siguientes…</t>
  </si>
  <si>
    <t>Rusia, Miguel de</t>
  </si>
  <si>
    <t>Miguel de Rusia</t>
  </si>
  <si>
    <t>…rdinaria en hermosear la capital, en donde empieza á introducirse el alumbrado por medio del gas hidrógeno. Nada se dice en orden á noticias políticas; solo se asegura que el gran duque Miguel de Rusia se casa con la Princesa Alejandrina, hija segunda de S. M. Idem a de Mayo. Está ya resuelto que á últimos de este mes emprenderá S. M. el viage de que se ha hablado tamas veces. Desde luego irá á Possen, Marienwerder y Koenigsberg para pasar revista á las tro…</t>
  </si>
  <si>
    <t>…es, (concluye diciendo,;este publicista.) no se ■ &lt;hicieron á favor de Baden.” . PAISES-B A JOS-UNIDOS. 1 i Brusélas.2$ de Mayo. t &lt; Se. espera de dia en dia que S. A. 1. el. gran duque Miguel de Rusia , ¡ber? mano del Emperador Alejandro, llegue á Maubeuge, cuartel general de las tropas rusas acantonadas en Francia * desde dónde se trasladará á Calais, y? se embarcará para Inglaterra. FRANCIA. Parts 29 de Mayo. , En la sesión de la Cámara de los Diputados…</t>
  </si>
  <si>
    <t>Saavedra, Félix Martínez</t>
  </si>
  <si>
    <t>Félix Martínez Saavedra</t>
  </si>
  <si>
    <t>…ntísimo ayuntamien to de Guayaquil, para que pueda usar la condecoración de la ñor de Lis con que le ha agraciado S. M. Cristianísima. Igual permiso se ha servido S. M. conceder á D. Félix Martínez Saavedra, regador perpetuo de Ciudad-Real. &lt; r Por Real resolución de S. M., dada á la «consulta personal que le hizo el Consejo en el viérnes 13 de Febrero próximo, se ha servido conceder á la villa de Sacedon permiso para trasladar la feria que celebraba en la seman…</t>
  </si>
  <si>
    <t>Saavedra, Joaquín</t>
  </si>
  <si>
    <t>Joaquín Saavedra</t>
  </si>
  <si>
    <t>…de Diciembre del año de 1780, como hijo descendiente por línea femenina del primer matrimonio de Doña Clara Scoarciafico, habiendo ex cluido de la posesión del mismo fideicomiso á D. Joaquín Saavedra, en razón de ser este descendiente por la misma linea del segundo matrimonio de la re ferida Doña Clara. Creyéndose muerto al mencionado Cañas hace ya algunos años, se necesita una justificación de su muerte , como también si ha dejado ó no hijos ; pues si hu…</t>
  </si>
  <si>
    <t>Sabas, Mariano</t>
  </si>
  <si>
    <t>Mariano Sabas</t>
  </si>
  <si>
    <t>…D. Josef Miguel Fernandez, D; Juan Bautista Vid al y D. Salvador García del* Corral’; los subtenientes D. Santiago Bullosa y Don Marcos Domínguez ; sargentos primeros distinguidos D. Mariano Sabas de la Peña, D. Josef Arostegui y D. Francisco Ruibal; sargentos primeros Lázaro Muñoz y Manuel del Rosario; idem segundo Rafael Nolasco.; cabos prime ros Dionisio Mar 6 Isidoro Malerva; ídem segundo Tosef Antonio? frny Compañías de fieles.re alistas. El capit…</t>
  </si>
  <si>
    <t>Sae.z, Víctor Damián</t>
  </si>
  <si>
    <t>Víctor Damián Sae.z</t>
  </si>
  <si>
    <t>…ina Martin, 4 Petra García, á Casilda Cprfa^co y á María del Pilar Fuente. Concluido el repartimiento de premios, pronunció un elocuente discurso el director de la sociedad el Dr. D. Víctor Damián Sae.z, canónigo pectoral de la santa iglesia primada, exhortando á ío$ niños 4 la aplicación, á los pa dres á que procuren la instrucción de sus hijos haciéndolos asistir 4 la* es cuelas, y probándola necesidad de la educación publica^ y bienes que deeríla resultan…</t>
  </si>
  <si>
    <t>Saenz, Antonio de Elias</t>
  </si>
  <si>
    <t>Antonio de Elias Saenz</t>
  </si>
  <si>
    <t>…e parre se devuelvan á las en que hayan sido robadas si se supiere cuales sean, y de lo contrario que se depositen en las Reales cajas. téícuco. Parte del comandante y subdelegado D. Antonio de Elias Saenz. „ Excmo. Sr.: Elevo al superior conocimiento de V. E. el parte original que me ha remitido el teniénté coronel graduado D. Juan Adan, á conse cuencia de la cor retía qué hizo en la serranía de S. Martin y Chalco, en persecución de Colín y Germán Reyes. ,,Est…</t>
  </si>
  <si>
    <t>…participo á vmd. para su conocimiento. „ Dios guarde á vmd. muchos años. Destacamento de Tlamimilolpa Oc tubre 6 de 1817. = Juan Adan. = Sr. teniente coronel y comandante militar D. Antonio de Elias Saenz.” Orense 5 de Abril, El 2 de este ines, á las cinco de la mañana, se sintió en esta ciudad un pequeño temblor de tierra, que solo se conoció por el crujir de las vigas de los techos, lo cual fue notado por todo el vecindario. El tiempo estaba claro y sereno,…</t>
  </si>
  <si>
    <t>…os 'guarde áV. E, muchos años. Toluca Mayo^o de 1818. = Excelen tísimo Sr. =Nicolás Gutierre#. = Excmo. Sr. virey D. Juan Ruiz de Apodaca.’* TEZCUCO. Oficio del teniente coronel y comandante D. Antonio de Elias Saenz. ,,Excmo. Sr.: Este territorio sigue en la mayor tranquilidad: por ella el labrador se esfuerza en hacer reproducir los campos que había abandonado, según se impondrá V. E. por los partes de los destacamentos, que originales elevo á su. superior conocimiento.…</t>
  </si>
  <si>
    <t>Saenz, Martin</t>
  </si>
  <si>
    <t>Martin Saenz</t>
  </si>
  <si>
    <t>…es, D. Josef García, D. Miguel Granados, D. Josef Quintanilla, Don Juan Antunez, D- Juan Bellido, D. Manuel de la Serna , D. Rafael Grana dos, príncipe de la doctrina cristiana, y D. Martin Saenz, de Lebrija: Don Fraiieised1 González y D. Josef Martínez , de Sanlucar de Barrameda : D'. Josef Moreno, D. Manuel Felipe Caballero, D* Gaspar Angulo, D. Josef Gó mez Hormigo y D. Francisco Rodríguez, de Jerez : D. Josef Auñon, de Mo ren : D. Juan Aguado, de…</t>
  </si>
  <si>
    <t>Sagredo, Josef Gil de</t>
  </si>
  <si>
    <t>Josef Gil de Sagredo</t>
  </si>
  <si>
    <t>…adero, ó de su muerte, se servirá avi sarlo en esta corte á la librería de Gifúentes, calle de los Preciados. Ordinario de la misa en latín y castellano , traducido nuevamente por D. Josef Gil de Sagredo, arcipreste de Alcaraz, con un pequeño egércició cotidiano, y entre otras varias oraciones las precisas para la confesión y comimioñ : los siete Salmos pe nitenciales en castellano, y el-trisagio de la Santísima Trinidad: un tomo en 16.0 de marquilla, adornad…</t>
  </si>
  <si>
    <t>Saigas, Martín</t>
  </si>
  <si>
    <t>Martín Saigas</t>
  </si>
  <si>
    <t>*7* # Movido tónicamente: del bien dé la; humanidad neb présbítérÓ D. Martín Saigas , p6r: noticia que adquirió de varios profesores del arte de curar , y por observaciones de muchos enfermos, se \ralió de los conocimientos y ciencia' del -primer profesor de química D. Pedro Gutiérrez .Bueno, boticario mayor honorario de S. M., y actualmente…</t>
  </si>
  <si>
    <t>Sainz, Marcelino</t>
  </si>
  <si>
    <t>Marcelino Sainz</t>
  </si>
  <si>
    <t>…de Bornos D. Miguel Baldovi en este mismo pueblo; el de Caldetas D. Antonio Coca en Igualada; el de Caí das de Reyes D. Manuel Jacobo Fernandez en el misino pueblo; el de Sacedon D. Marcelino Sainz en el citado pueblo; el de Puerto-Llano D. Car los Martin del Romeral en esta corte calle de Atocha, pasadizo de la fon da , cuarto principal; el de Tiermas D. Antonio Turbica en Villel de Mesa; el del Molar D. Tomas Bermudez en Madrid, calle de las Huertas,…</t>
  </si>
  <si>
    <t>Sal</t>
  </si>
  <si>
    <t>…ibe en dicho despacho, y en las provincias en todas las admi nistraciones'principales y agregadas de córreos. Por providencia de 22 del cójrriente mes-de Mayó, dada por el Sr. Dr. D. Sal vador Roca , visitador eclesiástico^ de esta muy heroica villa, se ha señalado para el remate del solar anunciado en el diario de n del mismo mes y gaceta del 12 del referido, perteneciente al venerable cabildo de señores curas y beneficiados de ella, sito ca…</t>
  </si>
  <si>
    <t>SaL, Josef</t>
  </si>
  <si>
    <t>Josef SaL</t>
  </si>
  <si>
    <t>…de España del P. Juan de Mariana, ilustrada con notas históricas y críticas, y tablas cronológicas desde los tiempos mas antiguos hasta la muerte del Sr. D. Carlos 111, por el Dr. D. Josef SaL&gt;au y Blanco, canónigo de S. Isidro, é individuo de la Real academia de la Histo ria , acudirán á recoger el tomo 3.0, y pagar el 4.0, que está en prensa, á la librería de Quirós , calle de Atocha , frente á los cinco Gremios. También se ha abierto sus cripció…</t>
  </si>
  <si>
    <t>Sala, Antonio López</t>
  </si>
  <si>
    <t>Antonio López Sala</t>
  </si>
  <si>
    <t>…la creación de Enero de 1808, señalados con los números 116669 y 125824, para que en el término de 30 días, contados desde esta publicación., acudan por la escribanía de número de D. Antonio López Sala zar í decir.y exponer lo que les convenga; con prevención que pasado dicho término sin há- , beylo verificado se procederá á lo que corresponda en justicia. . -En la Real subdelegacion de Mostrencos de la ciudad de Alcalá de Henares .y su .partido, y por la e…</t>
  </si>
  <si>
    <t>Sala, Pablo Vicente de</t>
  </si>
  <si>
    <t>Pablo Vicente de Sala</t>
  </si>
  <si>
    <t>2</t>
  </si>
  <si>
    <t>…el 14, y dirigió después el rumbo á la Nueva-Albion para hacer provisiones. El 2 de Octubre fondeó en el puerto de S. Francisco, donde fue recibido del mo do mas obsequioso por el gobernador D. Pablo Vicente de Sala, pues aun que este reside en Monterey, pasó á S. Francisco luego que supo la llegada del buque ruso. El 2 de Noviembre salió este de la costa de la Nueva-Al bion: Kotzebue tenia intención de permanecer hasta el mes de Abril en el mar del sur para tomar de nue…</t>
  </si>
  <si>
    <t>Salas, Baltasar</t>
  </si>
  <si>
    <t>Baltasar Salas</t>
  </si>
  <si>
    <t>…de Linares; y de doctrina cristiana y leer á D. Dio nisio Crespo, canónigo de esta santa iglesia, y vicario general, D. Benito Ortega Romanillos, dignidad de tesorero de la misma, D. Baltasar Salas*,,: también canónigo, y á los tres curas párrocos. Pero conociendo lo molesto que había de ser el examinar un número tan crecido de niñas, se eligieron por las maestras de las dos escuelas 16 de cada una de diferentes clases y edades. Dióse principio por la d…</t>
  </si>
  <si>
    <t>Salas, Gerónimo Castillon y</t>
  </si>
  <si>
    <t>Gerónimo Castillon y Salas</t>
  </si>
  <si>
    <t>…$. M. y de los Sernos. Sres. Infantes; siendo el prelado consagrante el Emo. y Excmo. Sr. D. Luis de Borbon, cardenal de Scala, arzobispo de Toledo, y asistentes el Excmo. é limo. Sr. D. Gerónimo Castillon y Salas, inquisidor general, obispo de Tarazona, y el limo. Sr. D. Eelipe de Montoya, obispo de Teruel. SS. MM. y AA. RR. asistieron á tan augusta función en sus tribunas. El Sermo. Sr. Infante D. Carlos María se dignó honrar á su maestro y confesor,. siendo su padri…</t>
  </si>
  <si>
    <t>Salas, Ignacio García Tuñon de</t>
  </si>
  <si>
    <t>Ignacio García Tuñon de Salas</t>
  </si>
  <si>
    <t>…a de hierro á D. Francisco Amor y Lastra, vecino de Serantes, á D. Jóscf Alvarez de Murías, á,D. Francisco Suarez de Grullos, á Tomas García de Baiña, á Vicente Suarez de Bello, á D. Ignacio García Tuñon de Salas j á D. Juan Cosme Cotariella, cura de Narzaná, y á D; -Francisco Valdés de Entralgo, porque todos acreditaron haber fabricado muchas mas brazas de pared de pie dra de las que se exigían. educación publica. Cuatrocientos reales á Pedro Fernandez y Josef Ramón…</t>
  </si>
  <si>
    <t>Salas, Josef Ignacio Joven de</t>
  </si>
  <si>
    <t>Josef Ignacio Joven de Salas</t>
  </si>
  <si>
    <t>…ado del húmero de procuradores de los Reales Consejos, dife-’ rentes legajos de memoriales ajustados, papeles en derecho impresos y manuscritos: que se hallaron en la casa del Dr. D. Josef Ignacio Joven de Salas, abogado del co legióle es'tacQrte, que se ausentó con el Rey intruso, cuyos papeles resulta perteñeqer'a casas *ie varios Señores Grandes de España y otros particulares residentes en esta corte y pueblos del reino, especialmente á la marquesa de la Romana,.…</t>
  </si>
  <si>
    <t>Salas, Mariano</t>
  </si>
  <si>
    <t>Mariano Salas</t>
  </si>
  <si>
    <t>…s en este pun-, -to podía haber funestos resultados, por; tener cortada; la comunicación del citado S. Pedro, resolví atacarlos á toda costad mandando al subteniente de cazado res D. Mariano Salas, que con 25 de estos lo verificase con todos los que en contrase en el camino, quedándome yo con el resto de los 60 y el. subtenien te D. Julián González. En efecto rompimos la marcha, y á poco anear,en paragedlamado.de. las -Tortugas,. nos encontramos con lo…</t>
  </si>
  <si>
    <t>…á reunión para seguir mi. marchan ,,Esta operación se dilató algún tiempo, y puedo asegurar á vmd. que el fruto de está victoria se debe en un todo á los subtenientes de cazadores Don Mariano Salas y D. Julián González, y al sargento primero de la misma Pe dro Gallardo, que habiéndole faltado el fusil puso mano al machete, y .ani-* mando á los suyos entró por los enemigos, quitándole á uno el fusil de lá mano', de cuya acción recibió dos balazos ; como igualmente á toda la…</t>
  </si>
  <si>
    <t>Salat, Josef</t>
  </si>
  <si>
    <t>Josef Salat</t>
  </si>
  <si>
    <t>…rcelona ig de Noviembre. Se ha abierto aqui suscripción á una obra intitulada Tratado de las mo nedas labradas en el principado de Cataluña, con instrumentos justifica tivos y por D. Josef Salat. En el prospecto se dice lo siguiente: ,,Las monedas celtibéricas, romanas y godas acuñadas en Cataluña han sido ya publicadas por varios escritores Las de la edad media, labradas por los condes de Barcelona, Reyes de Aragón y Castilla, estaban todavía descon…</t>
  </si>
  <si>
    <t>Salazar, Amonio López de</t>
  </si>
  <si>
    <t>Amonio López de Salazar</t>
  </si>
  <si>
    <t>…uperficiales, retasada últimamente cotí todos sus enseres es la cantidad de 220&amp; rs. vn. Quien quisiere hacer postura á ella acuda ante dicho séUor juez y escribanía del número de D. Amonio López de Salazar, que se admiti rán siendo arregladas. Ei remate anunciado en la gaceta de 12 de Febrero y diario de 19 dél mismo de U casa y jardín de recreo extramuros de esta villa, que fue del último señor conde marques de Perales, tasado todo en la cantidad de 333181 rs.…</t>
  </si>
  <si>
    <t>Sálazar, Antonio López de</t>
  </si>
  <si>
    <t>Antonio López de Sálazar</t>
  </si>
  <si>
    <t>…a otra en la de S. Carlos, núm. 15 , manz. 38, con 823! pies de sitio, valuada en 16250 rs. Quien quisiere hacer postura á ellas acuda ante dicho señor y’ escribanía del número de D. Antonio López de Sálazar, que se admitirán las que se hicieren siendo arregladas. .En el juzgado civil del Sr. D. Martin de Gaztanaga, alcalde de Casa y Corte, y ¿scribanía de provincia de D. Manuel López de Rivas, se halla radicada la testamen taría de D. Joséf de la Dehesa, vecino…</t>
  </si>
  <si>
    <t>Salazar, Juan Vicente de</t>
  </si>
  <si>
    <t>Juan Vicente de Salazar</t>
  </si>
  <si>
    <t>…capitán del regimiento de infan tería de Jaén, y á D. Francisco Bermudez, teniente del de B.irboq. En América. El gobierno de los Llanos, en el NuevoReino de Granada, ál teniente coronel D. Juan Vicente de Salazar , secretario del gobierno y ca¿ pitanía general de Puerto Rico; y el de Tejas, en las provincias internas de Nueva-Espáña, á D. Antonio María Martínez, teniente coronel del segundo regimiento de infantería de Zamora* El Rey se ha servido nombrar para cuatro p…</t>
  </si>
  <si>
    <t>Salazar, Manuel Antonio de</t>
  </si>
  <si>
    <t>Manuel Antonio de Salazar</t>
  </si>
  <si>
    <t>…ondujera á los parages donde solían dormir jlosyinfames González y Pedro el Negro. ,,Yo con el resto de dichos urbanos y Í2 realistas de Jalmolonga, man dados por su administrador D. Manuel Antonio de Salazar , emprendí mi marcha tomando la barranca de Tiachipehualco, que aunque es idas penosa por la elevación que tiene y rodeo que se hace, era el efugio que debían t«*» ner en su retirada , caso de ser batidos por los primeros. v í f &gt; , }&gt;En efecto al concluir di…</t>
  </si>
  <si>
    <t>Salazar, Severino</t>
  </si>
  <si>
    <t>Severino Salazar</t>
  </si>
  <si>
    <t>…e á noticia de los que no han comparecido á las anteriores jun tas se indican sus nombres y apellidos , que son: O. Josef Muñoz de Pando D Fe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 previniéndoles que de…</t>
  </si>
  <si>
    <t>Saldaña</t>
  </si>
  <si>
    <t>…n contado los soldados hasta 22 muertos, habiendo llevado al pueblo de los Amóles 4 y 10 heridos, como también otros varios al de Santa Cruz y'Valtirrillá, eñ el que entercaron al capitán Saldaña, hombre sangui nario y decidido. „ Por nuestra parte solo hemos tenido un carretero muerto, 3 dragones y el cabo primero del regimiento primero americano Francisco Gerdeño heri dos , y 12 caballos entre los dé esta clase y muertos. „ Todos los oficiales y tro…</t>
  </si>
  <si>
    <t>Saldaña, Diego</t>
  </si>
  <si>
    <t>Diego Saldaña</t>
  </si>
  <si>
    <t>…ue pasado dicho término se proce derá sin mas citación á lo que haya lugar. Se desea saber donde existen ó si han muerto Félix, Leandro, Antonia y María Gutiérrez, casada esta con D. Diego Saldaña, teniente alguacil mayor de Villafranca del Vierzo, hija de Diego Gutiérrez, difunto, natural de la villa de Cien pozue los, y vecino que fue de esta corte, y de María Concepción Dorado, también difun-rta, que vivió hace como cuatro años en la calle del Lobo,…</t>
  </si>
  <si>
    <t>Saldaña, Josef Costas</t>
  </si>
  <si>
    <t>Josef Costas Saldaña</t>
  </si>
  <si>
    <t>…. Su primer remate debe celebrarse en el dia 25 de Noviembre próximo; en la Secretaría de la misma provincia á presencia del Sr. D. Manuel de Velasco,* su intendente actual, y del Sr. D. Josef Costas Saldaña, comisionados al efec to: quien quisiere hacer postura acudirá con anticipación á practicar la que le conviniere, y se recibirá siendo arreglada; en el concepto de que el remate y posturas se egecutarán al todo de la hacienda, &lt;5 á cualquiera de las tres por…</t>
  </si>
  <si>
    <t>Salgado</t>
  </si>
  <si>
    <t>…,Como digo á V. E. en mi oficio del 19 emprendí mi marcha para/Sane Josef de Tisnaaos en la noche del dia anterior desde el sitio de Guaitoco,; deresultas del J1Y4SO que me dio el capitán Salgado de la acción de- la Puerta;. ,,En la mañana del citado dia 19 adelanté mis guerrillas desde S. Josef sobre el camino de Calabozo7. con el objeto de que ocupasen este paso. A las? 12 del dia se les presento una partida enemiga de 7.0. infantes, á los que atas…</t>
  </si>
  <si>
    <t>…co y á un comandante de escuadrón, que fueron muertos; asegurándome que por el camino que se retiraron hay mu chos en el mismo estado de los que salieron heridos. ,,En este dia el capitán Salgado me avisa desde las Astas haber cogido 46 prisioneros. E11 mi marcha á este punto se me presentó Patricio Jaspe (vecino' de S. Josef) con un capitán y 12 soldados que había cogido por estas inme diaciones. El resultado de todas estas operaciones ha sido matar…</t>
  </si>
  <si>
    <t>Salgado, Ignacio</t>
  </si>
  <si>
    <t>Ignacio Salgado</t>
  </si>
  <si>
    <t>…te ¿ las 12 de la mañana en las puertas de la audiencia de S. S. Por el presente se cita y emplaza á los tenedores de vales Reales que tengan que; reclamarlos del capitán retirado D. Ignacio Salgado, por haber sido retenidos en la renovación, para que en el término de 15 dias, que se han de contar desde este anuncio , acudan á deducir'sus acciones al juzgado de esta capitanía general de Cas tilla la Nueva, y escribanía principal de Guerra, sita en la cal…</t>
  </si>
  <si>
    <t>Salgado, Ventura</t>
  </si>
  <si>
    <t>Ventura Salgado</t>
  </si>
  <si>
    <t>…D. Josef Narvaez ; el te niente D. Luis La Madrid; lo$ subtenientes D. Sancho Pardo y D. Domingo Agustín; y del de Castilla contusos el capitán de granaderos D. Juan de Lo bo, el teniente D. Ventura Salgado, y los subtenientes D. Pedro Fernandez . y D. Angel Loño; del.de húsares también contuso de bala de cañón el porta D. Francisco Ximenez.</t>
  </si>
  <si>
    <t>Salinas, Benito</t>
  </si>
  <si>
    <t>Benito Salinas</t>
  </si>
  <si>
    <t>…isterio de Marina. &gt; . 8.° El remate ha de celebrarse el dia 28 del corriente á las doce de su ma ñana en la audiencia de guerra de esta plaza calle del Príncipe , á presencia del Sr. D. Benito Salinas, auditor de guerra de Castilla la Nueva, comisio nado por mí para el efecto; en la inteligencia que desde hoy se admitirán las posturas que se hiciesen siendo arregladas á lo anteriormente prevenido, las que se deberán egecutar por mano de D. Custodio Henriq.…</t>
  </si>
  <si>
    <t>Salinas, Rafael</t>
  </si>
  <si>
    <t>Rafael Salinas</t>
  </si>
  <si>
    <t>…y D. Pedro Alarcon. Fieles del Potosí: capitán graduado D. Mariano Guardiola. Realistas de Apan: capitán D. Joa quín Espinosa y D. Antonio Ortiz, teniente D. Josef Ponce y alférez Don Rafael Salinas. „ También recomiendo á V. S. muy particularmente á mis ayudantes capitán graduado D. Manuel Fernandez Peredo y teniente D. Francisco Santelices, del regimiento de dragones de Moneada , y capitán graduado D. Ma nuel Rodríguez, de fíeles del Potosí, quienes co…</t>
  </si>
  <si>
    <t>…ariano González Laris; alférez D. Mariano Becerra. Realistas de Apan: capitanes D. Joaquín Espinosa y D. Josef Ortiz; tenien tes D. Isidro Espinosa y D. Josef Castillo , y alférez D. Rafael Salinas. ,, Asimismo mis ayudantes de campo capitán de Zaragoza D. Pedro Gar^, cía Paredes, de fieles del Potosí, capitán graduado f&gt;. Manuel Rodríguez, y del regimiento de dragones de Moneada teniente D. Francisco Santelices, y el capellán bachiller D. Antonio Cea.…</t>
  </si>
  <si>
    <t>Salvachuna, Pascual</t>
  </si>
  <si>
    <t>Pascual Salvachuna</t>
  </si>
  <si>
    <t>…el cuerpo en el año social que concluía, y lo será en el que va á comenzar, el emplearse en promover los objetos que forman su instituto patriótico. A continuación el vice- censor D. Pascual Salvachuna leyó el extracto de las actas de la sociedad , desde 9 de Diciembre de 1816 hasta 8 de Diciembre de 1817 , por las clases del instituto , escrito por el vice-secretario D Lorenzo Muriel. Concluido lo cual el vice-director y el Excmo. Sr. capitán general alter…</t>
  </si>
  <si>
    <t>Salvador</t>
  </si>
  <si>
    <t>…ados autos 1 pues ^pasado que sea dicho tér mino sin haberlo hecho, les parará el perjuicio que haya lugar, ¡ J Én virtud de providenciadle 7 del corriente, dictada por el Sr. Dr.;D. Salvador. Roca, visitador eclesiástico en esta villa de Madrid, á instancia del venerable ca-. bildo de señores curas y beneficiados de.ella, se ha mandado sacar á pública venta ppr término de nueve dias, contados desde 8 del corriente, un solar,perteneciente al refer…</t>
  </si>
  <si>
    <t>Salvador, Josef</t>
  </si>
  <si>
    <t>Josef Salvador</t>
  </si>
  <si>
    <t>…o, 3 cabos y 12 soldados. De reten: 1 subalterno, 1 sargento, 2 cabos y 12 soldados.de infantería, y 15 de caba llería del tercer escuadrón de Borbon. Comandante de éste cantón el coronel D. Josef Salvador : su residencia en Lepe. Total fuerza de este distrito: 23 subalternos, 23 sargentos, 64 Cabos, 2 j6 soldados de infantería, y 75 de caballería. Comandante general de este distrito el mariscal de campo D. Joaquín Virues. Mayor general del distrito..... ■ • -…</t>
  </si>
  <si>
    <t>Salvador, Ramón Sánchez</t>
  </si>
  <si>
    <t>Ramón Sánchez Salvador</t>
  </si>
  <si>
    <t>…estará al cargo del coronel del citado regimiento; y últimamente el de Lepe, comprendido éntre la confluencia del rio Tintó con el Odiel hasto el Guadiana, lo mandará el de España D. Ramón Sánchez Salvador. 6.° Para las atenciones relativas al servicio del cordon habrá en cada distrito ún mayor general de la clase de gefe, y en cada cantón un mayor de él, que se elegirá dé la citada clase ó de la de capitanes; debiendo ser propuestos unos y otros para mi aproba…</t>
  </si>
  <si>
    <t>Salvatierra, Josef Andrés</t>
  </si>
  <si>
    <t>Josef Andrés Salvatierra</t>
  </si>
  <si>
    <t>…to, atravesando el reino del Brasil; Dr. D. Pedro Pablo Vaca, cura rector de la catedral de Sta. Cruz de la Sierra; D. Josef Antonio Ortiz, cura coadjutor de la misión de Porongo; D. Josef Andrés Salvatierra, cura interino de S. Pedro de Buena vista, arzo bispado de Charcas; D. Josef Mariano Caílau, cura de Santiago ¿ provincia de Chiquitos; D. Francisco Xavier López, cura de S. Rafael en dicha pro vincia ; D. Juan Lorenzo de Limpias, ex-cura de dicha provincia.…</t>
  </si>
  <si>
    <t>Samaniego, Ignacio</t>
  </si>
  <si>
    <t>Ignacio Samaniego</t>
  </si>
  <si>
    <t>…dro hicieron decla rase que Victoria se había dirigido para el paso de S. Francisco, y que pro bablemente estaría en una cueva que él sabia, en donde también se hallaba el rebelde coronel Ignacio Samaniego. ,, Ai. amanecer del 9 emprendí mi marcha al expresado paso: lueígó qué* llegué envié al capitán D. Josef María Martinez''parasqué?cón una partida* de cazadores y granaderos pasase la barranca y sorprendiese la CÚeVa, ’ fó qíié^ verificó con ia mayor prontitu…</t>
  </si>
  <si>
    <t>Samartin, Francisco</t>
  </si>
  <si>
    <t>Francisco Samartin</t>
  </si>
  <si>
    <t>…do del.de Caldas de Reyes por su inmediación, aunque sin otro sueldo que el que ya tenia; el médico de la Fuente de la Aliseda, en el reino de Jaén , partido de la Real Carolina £ D. Francisco Samartin , á los ba ños y aguas minerales de la villa de Fortuna, en Murcia; el de las aguas de la Fuente de -Loro , en Extremadura, D. Francisco Martínez, á las de NavalPino, en los montes y, .provincia de Toledo, y-el de los baños de Calderas,</t>
  </si>
  <si>
    <t>San</t>
  </si>
  <si>
    <t>…n una Ipartida de 36 hombres prófur gos de la acción de la casa de D. Carlos López , que se reunió allí; y ha biendo salido este de Maturin-para el pueblo, de A ragú a, encontró á D. San tiago. Marino con otra de poco mas de 50. Marino; fue atrozmente insultado por Piar , y al fin desafiado ; pero aquel, ó bien por poco inclinado á los desa*? fios, ó por muy obediente á las órdenes que lo prohiben, tomó el partido de entregarle sus 50 hombres…</t>
  </si>
  <si>
    <t>Sán, Antonio Aniceto</t>
  </si>
  <si>
    <t>Antonio Aniceto Sán</t>
  </si>
  <si>
    <t>…stro Señor se ha servido promover al actual alcalde mayor de la villa de Arjona D. Bernardo Josef de Hervás á igual empleo de la de Carayaca, vacante por haber cumplido su sexenio D. Antonio Aniceto Sán chez , ambos en el territorio de Las Ordenes Militares.</t>
  </si>
  <si>
    <t>San, Manuel</t>
  </si>
  <si>
    <t>Manuel San</t>
  </si>
  <si>
    <t>…ntinuación sus nombres y cuerpos á que pertenecen. ,,Del batallón de Zaragoza: capitán D. Manuel Velazquez , tenientes Don Josef Colomer y D. Pedro Salvador de Pazos, subtenientes D. Manuel San* chezTreviño y D. Justo Zaldivar. Del primero Americano: teniente coronel graduado D. Cristóbal Tenorio, capitán D. Josef Polledo, teniente D. Patri cio Ange y D. Miguel Tejeiro , subtenientes D.'Juan Perez y D. Juan Josef Reviila. De la Corona : teniente D.…</t>
  </si>
  <si>
    <t>Sanabria, Antonio Villareal y</t>
  </si>
  <si>
    <t>Antonio Villareal y Sanabria</t>
  </si>
  <si>
    <t>…álaga, su capital Cohin , á D. Francisco Xavier Mosquera de Rega; y para el de la villa de Almonte á D. Blas Antonio Martel: para la vara de alcalde mayor de la villa de Ubrique á D. Antonio Villareal y Sanabria: para la de la ciudad de León., va cante por traslación de D. joaquin Ruiz de Arechavaieta á la .de Alará, á D. Manuel Prudencio Sobrino: para la de las Nuevas poblaciones de Sierramorena, su capital la Carolina, á D. Félix Andrés Benitez Martínez, alcalde ma…</t>
  </si>
  <si>
    <t>Sánchez</t>
  </si>
  <si>
    <t>…igo. En. segunda destiné al teniente de Zaragoza D. Juan Ampudia con 20 infantes del mismo.,cuerpo para que en caso necesario protegiese la primera guerrilla. En el momento que el capitán Sánchez fue sentido por los rebeldes, rompib su avanzada el fuego; pero este bizarro oficial, despre ciando todo riesgo, se Ies echo encima, obligándolos á replegarse donde esta ba el todo de la fuerza, que no bajaría de &gt;00 hombres, Ja que inmediata mente se puso so…</t>
  </si>
  <si>
    <t>Sánchez, Alonso Francisco</t>
  </si>
  <si>
    <t>Alonso Francisco Sánchez</t>
  </si>
  <si>
    <t>…; en cumplimiento de lo cual el dia 18 del mes de Octubre próximo pasado se presentaron en la sala consistorial el alcalde decano con los demas individuos de ayuntamiento, el Dr. D. Alonso Francisco Sánchez, visitador eclesiásti*r co, queá la sazón estaba visitando la parroquial, el cura párroco con los de mas eclesiásticos y los principales vecinos deí pueblo; y presentados los ni ños por su maestro D. Casimiro Celedonio García, se dio principio al exa men por…</t>
  </si>
  <si>
    <t>Sánchez, Antonio</t>
  </si>
  <si>
    <t>Antonio Sánchez</t>
  </si>
  <si>
    <t>…ón de dicha plaza se ha de verificar dentro de dos meses*, que cumplirán en el 23 de Enero próximo, y los memoriales se dirigirán al ayuntamiento por el conducto.de su secre tario D. Antonio Sánchez de la Torre. , .... Se halla vacante la-co.nduta d.e.cirugía y barbería de Ja.villa de .Girauspartido de Benavarre, reino» de Aragón, siendo su dotación 5327 rs. vn. anuales cpbradps por su ayuntamiento^.y al maestro se le ha permitido.tener cuatro pueblos dé…</t>
  </si>
  <si>
    <t>Sánchez, Diego</t>
  </si>
  <si>
    <t>Diego Sánchez</t>
  </si>
  <si>
    <t>…o dragones, coya vísta hizo replegar á los enemigos en dispersión al cerró de la Goleta, retirándose la partida por ser infructuoso seguirlos;; dejando destacado en aquel punto al sargento Diego Sánchez, quien con igual nú-, mero de dragones que el anterior estuvo en observación de mi retaguardia tiroteándose á menudo con el enemigo. „ Serian las tres de la tarde cuando descubrí la vanguardia del teniente coronel D. Manuel Gómez de cosa de 30 hombres, y para…</t>
  </si>
  <si>
    <t>Sánchez, Epitacio</t>
  </si>
  <si>
    <t>Epitacio Sánchez</t>
  </si>
  <si>
    <t>…para batir dicha reunión, sin comprometer las armas del Rey, y cui dadoso de que después de su junta se tratase de atacar el destacamento de Casas Viejas, oficié inmediatamente al capitán D. Epitacio Sánchez, que se hallaba con ico hombres en S. Pedro Toliman, el que según superior orden del Excmo. Sr. virey debía ponerse á las mías, para que pásase sin demora á Casas Viejas, y me avisase luego de su llegada. Sánchez llegó:'á aquel punto en la mañana del 31, y av…</t>
  </si>
  <si>
    <t>Sánchez, Epítacío</t>
  </si>
  <si>
    <t>Epítacío Sánchez</t>
  </si>
  <si>
    <t>. # 1293 marchase , reunidos los 100 hombres del capítan D. Epítacío Sánchez, para ía hacienda de Charcas en persecución de la reunión. ,,El teniente coronel D. Manuel Velazquez cumplió mis instrucciones con tarita eficacia como verá V. S. por el parte de este gefe, que original acom paño, por el que se instruirá que la reunión ha sid…</t>
  </si>
  <si>
    <t>…do con el mayor entusiasmo y bizarría , y por lo mismo la considero digna de que hs*ga de ella la. recomendación que merece/, y muy particularmente de ios car pitanes de realistas D. Epítacío Sánchez y de dragones de Sierragorda D. Juan Benito Fernandez , y á los tenientes deí regimiento de Zaragoza D. Vicente Rolan y I&gt;. Juan Ampudia, como asimismo el subteniente 0. Josef Tainoa, que con la mayor eficacia comunicó mis Órdenes, y el bizarro alférez deSíer…</t>
  </si>
  <si>
    <t>Sánchez, Francisco López</t>
  </si>
  <si>
    <t>Francisco López Sánchez</t>
  </si>
  <si>
    <t>…, provincia de Falencia: su dotación es de 83 rs. vn. anuales libres, pagados pun tualmente por el ayuntamiento de tres en tres meses. Los pretendientes dirigirán sus memoriales á D. Francisco López Sánchez, procurador síndico general de dicha villa*, advirtiendo que no serán admitidos no teniendo á lo menos ocho años de par tido, y que se proveerá la plaza á últimos del presente mes. Los memoriales se di» rigirán por Rioseco. Se desea saber el paradero de Catal…</t>
  </si>
  <si>
    <t>Sánchez, Fráncrsco Peréz</t>
  </si>
  <si>
    <t>Fráncrsco Peréz Sánchez</t>
  </si>
  <si>
    <t>…to, árá dar uña pruéba dé su zelo é ínteres en los progresos de la instrucción -púliéa, dispuso Celebrar éxámenés de lós niños que'están á Cárgo dél maestrof dé prinfieras' letras D. Fráncrsco Peréz Sánchez efi los dias 9, 10 y 11 de JüJ ftió ultimo éh las casáé¡ consistoriales, á qué asistieron pinchas personas dis tinguidas de todos eStadqs. Habiendo presentado por clases el rttaestro todoS Sus a lü tanas, fuerónpfegUntadbs práctica y especulativamente por las…</t>
  </si>
  <si>
    <t>Sánchez, Gines</t>
  </si>
  <si>
    <t>Gines Sánchez</t>
  </si>
  <si>
    <t>…ayudante de este campo D¿ Salvador de Ro jas; 'teniente D- Juan Máriúel Chacón $ ayúdame de Ídem í estos tfes áyudantes -del general en gefe dél cordón. v r ' ' * ' Con grado de. coronel D. Gines Sánchez, comandante del pírlmér .feátálldíl "del rcgíiñientó infantería de Galicia, mayoí general del ¿drdori.1 1 ' .1 1 ~ I'. ^ , Del distritb dé lá derecha* \ El brigadier" gobernador de la plaza de Tarifa‘D. Manuel'Dábaii, segundo comandante general del cordon; te…</t>
  </si>
  <si>
    <t>…nfantería, y 10$ de caballería. Comandante generar de este distrito el Excmo. Sr. í). Josef María de Alós, comandante general del Campo de Gibraltar. Mayor general del distrito el coronel D. Gines Sánchez. Notas. Siendo la ensenada de Boloña un punto que por su localidad ha presentado á los contrabandistas la proporción de hacer sus desembarcos, y del cual han hecho uso siempre, deberá guardarse con mas. cuidado , procu rando evitar la proximidad á la costa de…</t>
  </si>
  <si>
    <t>Sánchez, Juan</t>
  </si>
  <si>
    <t>Juan Sánchez</t>
  </si>
  <si>
    <t>…sef Alvar Gon zález y teniente D. Ramón de Polledo, del regimiento de Asturias; á los te nientes del de Castilla D Antonio Casariego y D. Domingo López, y al subteniente del mismo D. Juan Sánchez; al de igual clase del Real cuerpo de artillería D. Josef Obeira , y al sargento primero de Asturias D. JosefPoo y Lozana, á los cuales, como igualmente á los demas individuos que se halla ron en el sitio , y recomienda el coronel Hevia, les he concedido un e…</t>
  </si>
  <si>
    <t>…omendar á V. E. por el mérito que contrajeron por sus disposiciones los tenientes coroneles gra duados comandantes de escuadrón D. Felipe Farjas y D. Josef Martínez; los capitanes D. Juan Sánchez, D- Basilip Castillo, D. Ignacio Pino, D. Regino Landaeta y D. Juan Bautista Urrutia. El capitán D. JuliánJNiéves, y el te niente de S. Francisco de Tisnádos con su valiente escuadrón se Excedieron á ¿uantq puede, exagerarse, como igualmente el campo volante…</t>
  </si>
  <si>
    <t>Sánchez, Mateo Rodríguez</t>
  </si>
  <si>
    <t>Mateo Rodríguez Sánchez</t>
  </si>
  <si>
    <t>…ado de Cádiz » y escribanía de D. Elias Izquierdo y Payan, se manda citar y emplazar á todas y cualesquiera personas que se estimen con derecho á ios bienes de la testamentaría de D. Mateo Rodríguez Sánchez, para que en el término de tres meses se presenten á deducirlo por sí ó sus represen tantes con los documentos que les comprueben; bajo apercibimiento que pasado di cho término, se-harán los pagos sin gravamen de fianza, cancelándose las que esten dadas; pará…</t>
  </si>
  <si>
    <t>Sancho, Manuel</t>
  </si>
  <si>
    <t>Manuel Sancho</t>
  </si>
  <si>
    <t>…uy heroica villa, refrendada del escribano del número D. Jacinto Gaona y Loeches, se ha mandado citar y emplazar, como por el presente se cita, llama y emplaza, á los parientes de D. Manuel Sancho y demas interesados á los bienes quedados por su fallecimiento abintestato, para que dentro del término preciso y perentorio de 20 días, contados desde 25 del corriente, acu dan ante dicho señor juez y expresada: escribanía á deducir Ja acción y derecho que l…</t>
  </si>
  <si>
    <t>Sandelo</t>
  </si>
  <si>
    <t>…l Príncipe Regente. Los diferentes estamentos del reino van á enviar diputaciones para cum plimentar á todas las personas Reales, y felicitarse mutuamente entre sí. He cho esto el conde Sandelo entregará él bastón de mariscal al mas antiguo dé lós condes, quien al frente de una diputación de la nobleza le pondrá en mar tíos del Rey. El conde de Engestrom, ministro de Estado, y el canciller barón de Wetterstedt asistirán á la coronación de S. M., que…</t>
  </si>
  <si>
    <t>Sándéls</t>
  </si>
  <si>
    <t>…bido en todas partes con aclamaciones. " - En el diá de la coronación sé han publicado las graciás siguientes: Señores del reino, el canciller de la corte barón de Welterstedt, el conde Sándéls 1 presidente' de la Guerra y mariscal dé la nobleza actual ; el barón de</t>
  </si>
  <si>
    <t>Sandovaí, Gregorio</t>
  </si>
  <si>
    <t>Gregorio Sandovaí</t>
  </si>
  <si>
    <t>…consideración de V. E. los que se contienen en la adjunta relación. Por nuestra parte no ha ha bido mas pérdida que la de tres soldados muertos y diez heridos, siendo de estos el teniente D. Gregorio Sandovaí. „ Cuyo contenido, :con la relación de los valientes que se han distinguido en esta acción, traslado á V. S. para su conocimiento, y á fin de que dispoijÉga su publicación en la gaceta de esa capital para satisfacción de sus fieles ha bitantes. „ Dios &amp;c. Cua…</t>
  </si>
  <si>
    <t>Sandoval, Josef</t>
  </si>
  <si>
    <t>Josef Sandoval</t>
  </si>
  <si>
    <t>…or la de V. E., y por la del coronel Orrantía. . „ . n Se dio fin á estas satisfactorias demostraciones con un baile, que á sus ex pensas dispuso en la casa consistorial él capí&amp;n D. Josef Sandoval, subdelega do de esta jurisdicción. „ Las propias demostraciones de júbilo han hecho las iglesias y pueblos en todos los puntos dé la vasta demarcación de mi mando; y porque hasta ahora no había recibido el parte del último comandante, no había dado á V. E. e…</t>
  </si>
  <si>
    <t>Sandwick</t>
  </si>
  <si>
    <t>…rpus, y á pesar de lo larga que és hemos tenido la satisfacción de que no haya perjudicado á Sil salud. Todavía no sé sabe si este año irá S. S. á pasar una temporada al campo. El conde Sandwick, par de Inglaterra, ha muerto en Albano en un* quinta del cardenal secretario de Estado, y su cadáver será en breve tras portado á Inglaterra. ' Venecid i$ de Junio. El supremo magistrado de Sanidad de esta capital, con fecha de 31 dé Mayo próximo pasado, avi…</t>
  </si>
  <si>
    <t>Sanjnrjo, Benito</t>
  </si>
  <si>
    <t>Benito Sanjnrjo</t>
  </si>
  <si>
    <t>…segundo; el de los de Hornos , en la provincia marítima de Cádiz, D. Miguel Baldovi, á las aguas de Lanjaron , en las Alpujarras; los de Cortegada y Caldas de Cuntís, en Galicia, D. Benito Sanjnrjo y D. Manuel Domínguez, á Carbol lino con su agregado Partovia el. primero, y á.Carballorel segundo, e,n di.cho reino, que* dando suprimida la plaza de director de Cuntís, pero, agregado, este establecí-, miento al cuidado del.de Caldas de Reyes por su inmediación, aunque sin otro…</t>
  </si>
  <si>
    <t>Sanjurjo, Pedro</t>
  </si>
  <si>
    <t>Pedro Sanjurjo</t>
  </si>
  <si>
    <t>…esidenre hasta fines del mes actual en Molina de Aragón, empiezan á usarse desde i.° dé Julio hasta 3* de Agosto; que los baños de Caldas de Tuy, en Galicia, al cuidado del médico D. Pedro Sanjurjo, establecido en la expresa da ciudad de Tuy, principian á tomarse el i.° de Julio, y concluyen en fin de Setiembre; por último , que los de Cortegada , en el mismo reino, se usan desde 15 de Julio hasta el 30 de Setiembre. Los tres directores facultativos de…</t>
  </si>
  <si>
    <t>Sanmartín, Josef</t>
  </si>
  <si>
    <t>Josef Sanmartín</t>
  </si>
  <si>
    <t>…ba en los dias de precepto y que se puede trabajar, siéndole libre su aplicación; y los me moriales deben dirigirse al escribano Real y secretario del ayuntamiento de dicho pueblo D. Josef Sanmartín. Los suscriptores á la novela inglesa titulada él Subterráneo ó las dos hermanas Matilde y Leonor, en 3 tomos en 12.0, que no hayan recogido todos los tomos po drán egecutarlo en el término de un mes en las librerías de Brun, frente á las gradas de S. Felipe,…</t>
  </si>
  <si>
    <t>Sanmartín, Miguel Velez y</t>
  </si>
  <si>
    <t>Miguel Velez y Sanmartín</t>
  </si>
  <si>
    <t>…freciendo para premios en el año siguiente 64a rs. que consagraba á este objeto el ayuntamiento, y 3G0 que él mismo destinaba generosamente á lo mismo. En seguida el vice-director D. Miguel Velez y Sanmartín leyó otro dis curso, dirigido á manifestar la utilidad de esta distribución de. premios. Des pués dei cual el v ice-r secretar jo D. Josef López presentó un resúraen de todas las deliberaciones y objetos que habían llamado la atención de la sociedad en todo e…</t>
  </si>
  <si>
    <t>Santander, Manuel</t>
  </si>
  <si>
    <t>Manuel Santander</t>
  </si>
  <si>
    <t>contusos son el teniente D. Josef Gorro, y los subtenientes D. Antonio Sola* no y D. Josef Colmenero: los oficiales muertos del regimiento húsares de Fernando vn son el capitán D. Manuel Santander, el teniente D. Alfonso Huesca y el alférez D. Genaro Pañego. Fue muerto ademas el coronel co mandante de dragones de la Union D. Josef de Navas, que seguía en el cuar tel general. Los prisioneros que resultan lo fueron por haberse quedado atra sados y extrav…</t>
  </si>
  <si>
    <t>Santelices, Francisco</t>
  </si>
  <si>
    <t>Francisco Santelices</t>
  </si>
  <si>
    <t>…Antonio Ortiz, teniente D. Josef Ponce y alférez Don Rafael Salinas. „ También recomiendo á V. S. muy particularmente á mis ayudantes capitán graduado D. Manuel Fernandez Peredo y teniente D. Francisco Santelices, del regimiento de dragones de Moneada , y capitán graduado D. Ma nuel Rodríguez, de fíeles del Potosí, quienes comunicaron mis órdenescon la mayor puntualidad; y también recomiendo á V. S. al bachiller D, Anto nio Cea, que cumplió exactamente con su minister…</t>
  </si>
  <si>
    <t>…simismo mis ayudantes de campo capitán de Zaragoza D. Pedro Gar^, cía Paredes, de fieles del Potosí, capitán graduado f&gt;. Manuel Rodríguez, y del regimiento de dragones de Moneada teniente D. Francisco Santelices, y el capellán bachiller D. Antonio Cea. Irapuato 29 de Octubre de 1817.se; Francisco de Orrantía/’ Contestación del Excmo. Sr. virey al mariscal de campo D. Pascual de Liñan. „He recibido el oficio de V. S. núm. 159 de 3 del corriente, y parte que acompaña d…</t>
  </si>
  <si>
    <t>Santervas, Miguel de</t>
  </si>
  <si>
    <t>Miguel de Santervas</t>
  </si>
  <si>
    <t>…los trámites regulares, por virtud de pro videncia asesorada de 15 del mes de Diciembre último, dictada á solicitud de Don . Francisco Hontañon, defensor judicial de los hijos del D. Miguel de Santervas, se cita y emplaza á ios mismos, ó á otra cualesquiera persona que se crea con ínteres y derecho á la sucesión del expresado mayorazgo y sus bienes, para que por r&gt;í ó medio de procurador habilitado con suficiente poder concurran á exponer y dedu cir el.qiíe…</t>
  </si>
  <si>
    <t>Santiago, Andrés de</t>
  </si>
  <si>
    <t>Andrés de Santiago</t>
  </si>
  <si>
    <t>…yes, Antonio de la Cruz , Domingo Hernández, An tonio de la Cruz, Francisco Santiago, Martin de los Santos, Felipe de los Santos, Martin Santiago, Francisco Santiago, Lúeas Reyes, capitán Andrés de Santiago, Josef Antonio, Pedro Santiago, Juan Bautista, Francisco San tiago, Juan Joáef, Tomas Vicencio, Antonio Santiago, Antonio Reyes/Pe dro Antonio, J^sef de la Cruz, Martin de/los Santos', Francisco Lorenzo, Pablo.Josef, Domingo de la Cruz, Diego Santiago, Juan J…</t>
  </si>
  <si>
    <t>Santiago, Juan</t>
  </si>
  <si>
    <t>Juan Santiago</t>
  </si>
  <si>
    <t>…ueras, que se distinguió á la cabeza de él, fue herido, y el teniente del mismo cuerpo D. Agustin Lázaro. También han sido heridos el ayu dante D. Víctor Urquiza, y el subteniente D. Juan Santiago, del regimiento de la Union , el teniente de Búrgos D. Antonio Gil, y el capitán de Navar ra D. Antonio Ladoux. El capitán de Granada D. Pió Sánchez Garcés fue contuso. „Los capitanes del regimiento de la Union D. Pascual Churruca y Don Joaquín Dalmau , y el…</t>
  </si>
  <si>
    <t>Santos, Josef Guadalupe</t>
  </si>
  <si>
    <t>Josef Guadalupe Santos</t>
  </si>
  <si>
    <t>14,,Me han causado la sensible pérdida de un cabo, 3 soldados y un pai sano muertos, y heridos el teniente veterano D. Francisco de la Hoz, el de igual clase de milicias de Bahía D. Josef Guadalupe Santos, un cabo , un tambor y 5 soldados, y también lo fueron levemente algunos paisanos de la Bahía , y uno de los de esta clase muerto. „Han quedado en mi poder 27 fusiles, 4 escopetas, 12 bayonetas, 2 porta idem, 11 cartucheras, una pistola y 4 sables,como tambié…</t>
  </si>
  <si>
    <t>…dice el enunciado virey que ha concedido el grado de coronel al teniente coronel Martínez, y el inmediato en su clase al tenien te veterano D. Francisco de la Hoz y al de milicias D. Josef Guadalupe Santos. ,,Que una partida , que se había separado del faccioso Perry al cargo del malvado español Vicente Travieso, cayó en manos del capitán D. Luciano García en la colonia del Nuevo-Santander, haciéndoles 28 prisioneros extrañage ros y españoles, y quitándoles 24…</t>
  </si>
  <si>
    <t>Sañudo, Francisco</t>
  </si>
  <si>
    <t>Francisco Sañudo</t>
  </si>
  <si>
    <t>-subteniente graduado de milicias sueltas D. Josef Molar..__T&gt;e la segunda división de milicias de la costa dei Norte. Los capitanes D. Josef Miguel Carballo, D. Francisco Sañudo y D. Pedro! Antonio Blasco; los teñiéntes P. Josef'Llórente, D. Josef Miguel Fernandez, D; Juan Bautista Vid al y D. Salvador García del* Corral’; los subtenientes D. Santiago Bullosa y Don Marcos Domínguez ; sargentos primeros distinguidos D. Mariano Sabas de la Peña,…</t>
  </si>
  <si>
    <t>Sanz, Angel</t>
  </si>
  <si>
    <t>Angel Sanz</t>
  </si>
  <si>
    <t>…ultativos que los han de dirigir en varios establecimientos de los que les ofrecen esta lisonjera esperanza, trasladar los médicos de los baños de Fitero y Velascoain, en Navarra, D. Angel Sanz y D. Josef Ro dríguez, á las aguas minerales de ’Villavieja, en el reino dé valencia, el pri mero, y á Baños de Bejar, en la provincia de Salamanca, el segundo; el de los de Hornos , en la provincia marítima de Cádiz, D. Miguel Baldovi, á las aguas de Lanjaron , en las Alp…</t>
  </si>
  <si>
    <t>Sanz, Claudio</t>
  </si>
  <si>
    <t>Claudio Sanz</t>
  </si>
  <si>
    <t>…lguna de ellas, para que dentro del preciso y perentorio término de 10 dias, que por último se les señala, con denegación de otro, acudan ante S. S. por la escribanía de número de D. Claudio Sanz á hacer la manifestación de los citados documentos, y de las causas y motivos que les asistan para la retención; pues de no hacerlo, sin inas citarles ni emplazarles, se procederá en el asunto i lo que corresponda, y les parará entero perjuicio. Los elementos…</t>
  </si>
  <si>
    <t>…ia se ha señalado para el segundo remate el 24 del corriente á las 12 de la mañana en las puertas de la audiencia del Sr. D. Joaquin de Almazan, y por ante el escribano del número D. Claudio Sanz. Quien quisiere hacer mejora acu-; da hasta dicho dia, que se le admitirán las que hiciere, siendo arregladas. En virtud de providencia del Sr. D. Joaquin de Almazan , del Consejo de S. M., teniente corregidor de esta muy heroica villa, refrendada del escriba…</t>
  </si>
  <si>
    <t>…Bay, y vivió calle del Cármen, núm. 2 , para que dentro del preciso término de 30 dias, que por segundo se conceden, acudan ante dicho señor juez v oficio del escribano del número D. Claudio Sanz, por medio de procurador con suficiente po der y documentos á deducirle y exponerle en forma; pues de lo contrario, y pasa do dicho término sin hacerlo, se procederá á lo que haya lugar, y les parará entero perjuicio. El señor juez de la testamentaria del señ…</t>
  </si>
  <si>
    <t>…y la otra inmediata á la antecedente en la calle de la Cruz verde, señalada con el núm. 27, manz. 481, y valuada en 63679 rs. Quien quisiere comprarlas unidas acuda á tra tar con D. Claudio Sanz, escribano delnúmefo de esta muy heroica villa. Rimas en honor de la España por D. D. C.: un tomo en 8.° Se hallará en el despacho de la imprenta Real í 16 rs. en. pasta y 13 en papel. 1.a edición por su tamaño y carácter de letra hace juego con las de los Sr…</t>
  </si>
  <si>
    <t>…vivió calle del Cármen , núm. 2 i para que dentro del preciso, término de* 3» dias, que por tercero y.último se conceden , acudan ante dicHo señor juez ,y, escribanía de número de Don Claudio Sanz, por.medio de procurador y documentos,. 3. ¡deducirle y exponerle..en forma; pues de lo contrario, y pasado dicho término sin hacerlo, se procederá á lo que haya lugar, y les parará ehtero perjuicio. • • En virtud de orden de rla Real junta de restablecimient…</t>
  </si>
  <si>
    <t>…en 639940 rs. de vn. Quien quisiere hacer postura á todas, ó cada una de dichas fin cas y posesiones, acuda ante el referido señor juez comisionado por la escribanía de mimero de D. Claudio Sanz, donde se les enterará mas individualmente de las tasaciones, dentro del término de 30 dias, que se admitirán las que hicieren siendo arregladas. Habiendo fallecido abintestato en esta corte D. Domingo Antonio Suarez el dia 21 de Setiembre de i8c6, han acudid…</t>
  </si>
  <si>
    <t>…80 rs. vn., y todo asciende á Ja suma de 142380 rs. vn. Quien quisiere hacer postura á dicha po sesión acuda ante el referido señor juez comisionado por la escribanía de número de D. Claudio Sanz, en donde se les enterará mas por menor de las tasaciones, dentro del término de 30 dias, contados desde 13 del corriente, que se les admitirán las que hicieren siendo arregladas. En virtud de facultad Real se venden unas casas sitas en esta corte en la calle…</t>
  </si>
  <si>
    <t>…a cantidad de 12138 rs. y 16 mrs. vn., acuda ante el Sr. D. Joaquin de Almazan, del Consejo de S. M., teniente corregidor de esta muy heroica villa, por la escribanía de número de D. Claudio Sanz, dentro del término de 30 dias. El Sr. D. Angel Fernandez de los Ríos, del Consejo de S. M., teniente corre gidor de esta muy heroica villa, por auto de 24 del corriente, refrendado de Don Claudio Sanz, escribano del número, ha señalado para celebrar junta ge…</t>
  </si>
  <si>
    <t>…y porción de tierras labrantías, va luado todo en la cantidad de'2465/8 rs. vn. Quien quisiere hacer postura acuda ante dicho señor juez comisionado por la escribanía de número de D. Claudio Sanz, en donde se enterará muy por menor de las tasaciones, cabida, localidad de las fincas, la clase y demas circunstancias que convengan y deseen saber los ficitadores, dentro del término de 30 días , contados desde 11 del corriente. ’ Real cédula de S. M. y Sre…</t>
  </si>
  <si>
    <t>…aballero de la Real y distinguida orden es pañola de Carlos nr, del Consejo de S. M. en el Supremo de Almirantazgo, juez de comisión en el asunto, por ante.-el escribano de numero D. Claudio Sanz. En virtud de providencia del Sr. D. Manuel Josef Rubio , del Consejo de S. M., ' teniente corregidor de esta muy heroica villa , se venden para pago de una deuda las fincas siguientes , sitas -en;-.término de la villa de Yuncos: un olivar que llaman Juan Ant…</t>
  </si>
  <si>
    <t>…iso* término de 30 días acudan ante el Sr. D. Angel Fernandez de los Ríos, del Conse-i jo de S. M., y teniente corregidor de esta muy heroica villa, por la escribanía de número de D. Claudio Sanz, á deducir y exponer lo que á su derecho convenga contra la reclamación que á los dichos vales ha hecho D. Josef Francisco Aivarez;, vecino de esta corte; apercibidos de que pasado el referido término sin mas citarles., ni emplazarles, se procederá á lo que h…</t>
  </si>
  <si>
    <t>…na, en la posada del Sr. D. León de la Cámara Cano, caballero de la Real y dis tinguida órden Española de Carlos ni, del Consejo de S. M. en el supremo de Almi rantazgo , por ante D. Claudio Sanz, escribano de numero de esta muy heroica villa: quien quisiere hacer mejora acuda por la escribanía del susodicho, donde se enterará de la tasación, y admitirá aquella siendo arreglada. Se halla vacante la escuela de primeras letras de la ciudad de Guadalajar…</t>
  </si>
  <si>
    <t>Sanz, Francisco</t>
  </si>
  <si>
    <t>Francisco Sanz</t>
  </si>
  <si>
    <t>…uga , sin que por nuestra parte haya ninguna novedad. , ,, No puedo menos de recomendar á V. S para que lo haga á S. E. el mérito que han contraído los oficiales teniente graduado D. Francisco Sanz, el de igual clase D. Josef Vázquez y el alférez D. Andrés Montero, ambos .de dragones de España, el sargento del mismo cuerpo Josef Garícano y el ¡cadete de Querétaro D. Juan de Dios de Escovedo, que hace de ayudante de</t>
  </si>
  <si>
    <t>Sanz, Miguel</t>
  </si>
  <si>
    <t>Miguel Sanz</t>
  </si>
  <si>
    <t>…. D. Manuel Josef Rubio, del Consejo de S. Al., teniente corregidor de esta muy heroica villa, se cita y emplaza á D. Agustín de Trápaga, D. bebastian Cardiel, Doña María Sexmilo» D. Miguel Sanz, D. Estéban delHoyo, D. Juan de Goya, y á los interesados en la testamentaría de D. Josef Antón; y por fallecimiento de ellos á sus herederos sucesores en sus derechos, como acreedores de la testamentaría de D. Manuel de Ezquerra y Trápaga, vecino y del comer…</t>
  </si>
  <si>
    <t>Sar</t>
  </si>
  <si>
    <t>…alsas huidas á los 180 escasos y mal mon.tados que llevaba nuestra división. El coronel D. Antonio Vigil, que tomó el mando por haber salido; graveniente herido el dia anterior el coronel Sar dina, les conoció la iñténciori ^ y dispuso que npestra,f.caballería formase martillo sobre el cuadriíongo/que ya habla formado el batallón ligero de Ge rona , y que en una fuerte linea circular de tiradores siguiese la columna ,su movimiento, despreciando la…</t>
  </si>
  <si>
    <t>Saraivá, Joaquín</t>
  </si>
  <si>
    <t>Joaquín Saraivá</t>
  </si>
  <si>
    <t>…de la congregación de S. Vicente de Paul y un francés de la misma congregación: en la diócesis ninguno: 18 sacerdotes del país: unos 40© cristianos: religión cristiana prohibida: obispo D. Joaquín Saraivá, de la congregación de S&gt; Vicente de Paul. Nankin. Provincias de este obispado: Kian-nan y Honan. Un obispo portugués, de la congregación de S. Vicente de Paul, que reside en Pekín: seis sacerdotes del pais: unos 33®.cristianos: religión cristiana prohibida:…</t>
  </si>
  <si>
    <t>Sardi</t>
  </si>
  <si>
    <t>…ch, esta suspendida toda vía, asi como la de monseñor Zen, que está nombrado nuncio apostólico de París. . Se ha nombrado á monseñor Belli para ir á Lúea como nuncio asistente del obispo Sardi. , .» V El Príncipe Real de Baviera, que permanece todavía aquí, se ha grangeado el afecto de todos por la afabilidad de su trato, y por lo bien que se por ta, principalmente con los artistas, cuyas casas visita con frecuencia, encar gándoles-obras de mucha c…</t>
  </si>
  <si>
    <t>Sardina</t>
  </si>
  <si>
    <t>…es los enemigos , aturdidos con solo la vista de nuestras columnas, y dos cañones qúe pusieron las balas en medio de sus grupos, se deshiciéron y ca yeron spbre la caballería djbl coronel Sardina que. ios ácuóbrrió y persiguió hasta el rio con un valor y denuedo inimitables.Gii£rné$&gt; que no,acostum bra ponerse ni á tiró de la artillería, estuvo esté día no sé por qué ca sualidad entre nuestros sables ; pero el caballo sobresaliente que montaba le salv…</t>
  </si>
  <si>
    <t>Sardina, Vicente</t>
  </si>
  <si>
    <t>Vicente Sardina</t>
  </si>
  <si>
    <t>…go que sufrian sobre la marcha; pero como á poco rato se hubiese reconocido for mando delante de las mismas casas una línea, que parecía contener de 400 á 500 caballos, ordené. al coronel D. Vicente Sardina que con el escuadrón de húsares y los dragones americanos tomase al trote Iá derecha dél pueblo, mientras las guerrillas reforzadas con dos compañías de^Gerona , que concep tué más que suficiente para deshacerlos por el frente, continuaban su camino sobre la…</t>
  </si>
  <si>
    <t>…en la tarde del 21 del ac tual saliese una expedición de 400 infantes del batallón de Gerona y 180 Caballos sacados de todos los escuadrones hácia el Bañado, al mando del co ronel D. Vicente Sardina , con objeto de' hacer ver á los enemigos que las tro pas del Rey iban á todas partes; pues Giiemes les habia hecho creer que nun ca llegarían al expresado punto. En la mañana del 22 encontró la división á los enemigos , y los ataco y derrotó, persiguiéndolos…</t>
  </si>
  <si>
    <t>Sasa, Romualdo</t>
  </si>
  <si>
    <t>Romualdo Sasa</t>
  </si>
  <si>
    <t>…f Id ion da, D. Francisco Goñi, D. Xavier Sanz López y Don Benito Munduate. Ultimamente en la clase de humanidades ó retorica logró el primer pre mio D. Marcos Velaz; y el segundo D. Romualdo Sasa, siendo merirorios D. Fausto Oráyen, D. Antonio Sanz López y D. Mariano Ciá. En el dia 14 se repartieron los premios, que consistían en libros y me dallas de plata, á presencia del ayuntamiento, de la junta de estudios y es cuelas, y de un numeroso concurso.…</t>
  </si>
  <si>
    <t>Satue, Ramón</t>
  </si>
  <si>
    <t>Ramón Satue</t>
  </si>
  <si>
    <t>…Sr/D. Juan Garrido, al cargo de su habilitado; eninteligencia que pasado dicho término sin haber comparecido les parará el perjuicio-, que haya lugar. En virtud de providencia del Sr. D. Ramón Satue, del Consejo de S. M., su alcalde de Real Casa y Corte, á instancia de D. Pedro Julián y Doña Sebastiana Pa-: ris, hijos y herederos de D. Miguel Tomas París, uno de los acreedores graduados etiv el quinto lugar en la testamentaría de D. Manuel Calixto del Ca…</t>
  </si>
  <si>
    <t>Satué, Ramón</t>
  </si>
  <si>
    <t>Ramón Satué</t>
  </si>
  <si>
    <t>…renta Real. Se suscribe en dicho despacho, y en las provincias en todas las admi nistraciones principales y agregadas de correos. Por providencia del señor alcalde de Casa y Corte D. Ramón Satué, á quien está cometida lá egecucion de una Real facultad, se han mandado sacará publica sub asta, por término de 30 dias contados desde 31 de Agosto , seis casas y un solar sito todo en la ciudad de Segovia: la una á la parroquia de S. Martin, y habita Don Eu…</t>
  </si>
  <si>
    <t>…a de la plaza dé Algeciras, por Enguídanos, i2.zzrPrimer baile en máscara que se dió en el.coliseo del Príncipe, 8, ( Se continuarán.) Por el señor alcalde de la Real Casa y Corte D. Ramón Satué se ha señalado el dia i.° de Octubre próximo, y hora de las 12 de su mañana, en una de las salas, del tribunal, para el remate de seis casas y un solar, sito todo en la ciudad de Seg®via: la una á la parroquia de S. Martin, que habita D. Eusebio Cuesta, tasad…</t>
  </si>
  <si>
    <t>A consecuencia de Real facultad, cometida al señor alcalde de la Real Casa v Corte D. Ramón Satué, se ha mandado publicar por 15 días mas la subasta dé seis casas y un solar, sito todo en la ciudad de Segovia: la una á la parroquia de S. Mar tin, que habita D. Eusebio Cuesta , tasada en 26524 rs.: otra en la calle de Reoyo, que sirve de rabona, en 21360:…</t>
  </si>
  <si>
    <t>Saucedo, Anastasio</t>
  </si>
  <si>
    <t>Anastasio Saucedo</t>
  </si>
  <si>
    <t>…órente.5’ Lista de los individuos que se hanpresentado con arpias y municiones Á indulto en Nautla el cita 20 de Enero corriente. El titulado capitán comandante Guillermo Herrera; teniente Anastasio Saucedo; soldados Ahtónio Sandria, Manuel García, Josef María Panamá* Josef Teresa Panamá , Juan Telesforo, Luis Panamá, Narciso Martínez, Juaii Antonio García, Salvador Ferrál, Antonio Vázquez, Hermenegildo Antonio¿ Gregorio Cruz, Josef María LozaUo, Cirilo Ferrol,…</t>
  </si>
  <si>
    <t>Sayús, Francisco de</t>
  </si>
  <si>
    <t>Francisco de Sayús</t>
  </si>
  <si>
    <t>…por S. M. á io£ que contrajeron'distinguido mérito y fidelidad, para que pueda usar la condecoración de la flor de Lis con que S. M. Cristianísima se ha servida agraciarle. . ^ ^ D. Francisco de Sayús, vecino de Santander, dueño de la fábrica .de som-f bferos finos en dmliW^cwidqd ,oh»i6btenillo3de SL Mr y vá Consulta del supremo Consejo de Hacienda en junta general de Comercio 3K-Moneda^ la gracia de fabrica Reaiv ^ de. que p&amp;ngacel :&gt;ekaidawde''armas* Re…</t>
  </si>
  <si>
    <t>Schack</t>
  </si>
  <si>
    <t>…achowski, al coronel Witzleben, al consejero de Cámara Albrecht y al doc tor Wicbel, médico de Cámara y del Estado mayor; y el Príncipe Real va acompañado de su primer ayudante el coronel Schack. Luego que llegue S. M. á Rusia viajará de incógnito bajo el nombre del pasará revista a las tropas y nen ,y visitará las casas Reales de monta que hay allí. El dia 9 entrará en el territorio rusojelio llegará á Wiína;el 13 áSmolensko, y el 16 á Moscow.</t>
  </si>
  <si>
    <t>Schakouskoy</t>
  </si>
  <si>
    <t>…ieron fueron el actual consejero privado GouriefF, ministro de Hacienda; el consejero privado barón de Kampenhausen, contador general del imperio, y el consejero privado y senador príncipe Schakouskoy. Los individuos del cuerpo de la nobleza elegidos para asistir á este consejo fueron el montero mayor Mr. Narischkin, el mayor general Moller, el consejero privado y senador conde ChvostofF, el consejero de colegio barón Tscherkassoff, el mayor general Adadou…</t>
  </si>
  <si>
    <t>Schantz</t>
  </si>
  <si>
    <t>…y el conde Axel-Moerner han sido promovidos á mayores generales; el almirante barón dé Steding ha sido nombrado almirante general, y contra-almirantes el barón de LagerÉielke y el coronel Schantz. En la sesión de la Dieta de Noruega del 30 del pasado el presidente dé la diputación nombrada para asistir á la coronación de S. M. dio cuenta de haber desempeñado su comisión. En la propia sesión se nombró otra comisión para que asistiese á la misma ceremon…</t>
  </si>
  <si>
    <t>Schicope, Elica</t>
  </si>
  <si>
    <t>Elica Schicope</t>
  </si>
  <si>
    <t>…osto de xSi7. = Excmo. Sr.=Josefde la $erna. = Excmo. Sr. virey dei Perú.” j Alyedras 2p de Enero. Ayer por la mañana fondeó en esta bahía la polacra mercante rusa el. Conde Pose, capitán Elica Schicope, procedente de Málaga, de donde salió, hace tres dias con destino á Lisboa para vender su cargamento de trigo. Es tando este buque á las io de la misma mañana entre la punta de Europa y, Ceuta, se le aproximó una de las fragatas de guerra portuguesas que cruz…</t>
  </si>
  <si>
    <t>Schumacher</t>
  </si>
  <si>
    <t>…de extensión , los Gobiernos de Dinamarca y Hannóver han mandado tomar nuevas medidas terrestres, las cuales se unirán también una con otra. El Rey de Dinamarca ha comisionado al Sr. Schumacher, astrónomo de Copenhague, para medir los cuatro grados del meridiano, y los cuatro de longitud que comprende el territorio de Di-] namarca; y esta operación se ha de. unir á la medida de tres grados del me ridiano en el Hannóver, que se ha fiado á la intelige…</t>
  </si>
  <si>
    <t>Scoarciafico, Clara</t>
  </si>
  <si>
    <t>Clara Scoarciafico</t>
  </si>
  <si>
    <t>…en un fideicomiso, á cuya posesión fue admitido dicho D. Vicente Cañas desde el 2 de Diciembre del año de 1780, como hijo descendiente por línea femenina del primer matrimonio de Doña Clara Scoarciafico, habiendo ex cluido de la posesión del mismo fideicomiso á D. Joaquín Saavedra, en razón de ser este descendiente por la misma linea del segundo matrimonio de la re ferida Doña Clara. Creyéndose muerto al mencionado Cañas hace ya algunos años, se necesita una…</t>
  </si>
  <si>
    <t>Scoresby</t>
  </si>
  <si>
    <t>…o cuatro islas grandes, como las figuran los ma pamundis del siglo xvi, aun dadó^esré caso es muy probable que los mares que las separan esten cubiertos habitualmente de hielo. El capitán Scoresby yió y observó formarse él-hielo en alta mar á mas de ;ia leguas de las. eos tas eje .Spitzberg?;el¿agua se cristalizaba á su vista;ry aun del fondo dez mar sa« lian estos cristales de ;hie!o,He aquí debilitado en gran .manera el argumento a-favor de pn jmaria…</t>
  </si>
  <si>
    <t>Se, Fernando</t>
  </si>
  <si>
    <t>Fernando Se</t>
  </si>
  <si>
    <t>…de.la calle Msypr*/repto á .ía#casa~del conde de Oñírte, se vende la estampa del Sjnp. Cristo de. la S^lud de Ja IJavaua*,ep&gt; medio, pliega de marca mayor' dibujado y grabado p.ox D. Fernando Se lma * á ,6 rs. en .negro y 20 iluminado. Asimismo un S. Josef del mjsmo tamaño, grabado por. ,DV Juan Bruneti, á 5 rs. cada uno: otro dicho en cuartilla de la misma marca por D. Manuel Albuerne, á 3 rs. en negro y 10 iluminado , .con el permiso de la, Real ac…</t>
  </si>
  <si>
    <t>Se, J. B.</t>
  </si>
  <si>
    <t>J. B. Se</t>
  </si>
  <si>
    <t>…as victorias conseguidas por las arma» españolas desde el tiempo de Jos cartagineses hasta la famosa guerra de sucesión: un tomo en 4.0, traducido del francés al español por el C. D. J. B. Se hallará á í6 rs. en rústica y 20 en pasta en la librería de Castillo, frente á las gradas de $. Felipe el Real, y en el almacén de papel de Grimaud, frente á la imprenta Real; en Barcelona en la imprenta de Brusi, y en Cádiz en la librería de Picardo. Nota, E…</t>
  </si>
  <si>
    <t>Se, Pascual</t>
  </si>
  <si>
    <t>Pascual Se</t>
  </si>
  <si>
    <t>…arará el perjuicio que haya lugar. En virtud de providencia del Sr. H. Joaquin Almazan y Ximeno, del Consejo de S. M., teniente corregidor de esta muy heroica villa, refrendada de D. Pascual Se co, escribano Real .y del número de ella, se ha mandado .sacar á pública subasta por término de 30 dias un^campo en el término de la fiudád de Zaragoza , y partido lla mado Campo gallego, cenia baja de 5 cahíces, una hanega y 2cuaftalep de tierra, apreciado h…</t>
  </si>
  <si>
    <t>Sebas</t>
  </si>
  <si>
    <t>…D. Josef Tzturiz, que mandaba las doscompañías. Igualmente lo hago á V. E¿ del capitán de zapadores , graduado de teniente coronel, gefe interino del estado mayor de esta división D. Sebas tian Díaz, y al teniente graduado adicto ál mismo D. Benito Rodríguez. A todos estos individuos los considero dignos de que recaigan en ellos las gracias^ que V. E. quiera dispensarles á nombre de S. M., como también á todos los' oficiales y tropa de mi divis…</t>
  </si>
  <si>
    <t>Sebastiá, Josefa</t>
  </si>
  <si>
    <t>Josefa Sebastiá</t>
  </si>
  <si>
    <t>…remiados el lugar distinguido según costumbre, el niño premiado D. Francisco Burgués recitó una oda dando las gracias á nombre de sus compañeros, y lo mismo practicó por las niñas Doña Josefa Sebastiá. Después de lo cual el niño Vi cente Favía y la miña María Perez, de la casa de Beneficencia , recitaron el primero una canción en acción de gracias, y la segunda arengó, pidiendo laprotección de la Real sociedad, á quienes dio el vice-director 50 rs. vn. á c…</t>
  </si>
  <si>
    <t>Sebastiá, Pedro</t>
  </si>
  <si>
    <t>Pedro Sebastiá</t>
  </si>
  <si>
    <t>…; creyó que iba á -espirar dentro de breve 1 con tal ¡vehemencia, que tiempo. Antes de las'nueve se repitió la accesión , y reunidos á lás diez y media losmédicosD.Manuel Asen si, D. Pedro Sebastiá, -D. Gleímeñte V&amp;lentí y el de la;¡asistertCÍa*¡E). Bernardo íiLópezrEchavarría adr miraron un estado tan opuesto al de los síntomas ocurridos en la misma tarde. Su rostro estaba tan extraño é iracundo-qüe¡excitaba miedo; sus ojos muy ■ encarnizados , y al pá…</t>
  </si>
  <si>
    <t>Sebastian</t>
  </si>
  <si>
    <t>…rden para salir de Bruselas. ESPAÑA. Caracas 24 de Setiembre, En la gaceta de esta capital se han insertado los partes siguientes: i.° Del comandante general de la quinta división D. Sebastian de la. Calzada al Exento, Sr. general en gefe D, Pablo Morillo. „Excmo. Sr.: Cumpliendo con las superiores instrucciones de V. E., y tenieudo presente que el. rebelde Paez se dirigía hácia Barinas, dispuse una-</t>
  </si>
  <si>
    <t>…cto del Mosela ha dado orden de que se hagan en su jurisdicción varias batidas hasta el mes de Abril,con el fin de extinguir los numerosos lo bos qúe hai en aquel departamento. El general Sebastian!, que estaba en Córcega, ha llegado á Marsella, des de donde debe venir á París. El Mediterráneo y el Océano están infestados de piratas. Una corbeta velera de 18 cañones y 300 hombres de tripulación, con bandera inglesa, dio caza últimamenté á un buque á la…</t>
  </si>
  <si>
    <t>…érdida de todos sus caballos y armas, libertándose con esta acción de rapiñas á los pueblos de los valles de Orituco, que era donde egercian sus la trocinios. ,,Al mismo tiempo el coronel D. Sebastian de la Calzada, con fecha de 4 de Setiembre último, me avisa desde el pueblo de Apurito haber hecho una expedición sobre la isla Achaguas, Sta. Lucía, Payara, Guainal y otras po blaciones de la oriila derecha del Apure, donde había sorprendido varias guarnicio…</t>
  </si>
  <si>
    <t>…provincia de Barinas; el coronel Blake, ingles ; el coronel Rueda , y el infame coronel Romeron, uno de los dos Romeros partidarios en Barinas,. . ' ,, Al mismo tiempo me avisa el coronel D. Sebastian de la Calzada, co mandante general de la quinta división, con fecha de 9 del actual desde el punto de Sabaneta, que ha cogido y pasado por las armas al revolucionario Barrueta, enviando su cabeza á la ciudad de Trujillo, punto adonde ha Jleyado tantas veces l…</t>
  </si>
  <si>
    <t>Seco, Pascual</t>
  </si>
  <si>
    <t>Pascual Seco</t>
  </si>
  <si>
    <t>…el Sr. £&gt;. Angel Fernandez de los Ríos, del Consejo' de S» M., oidor honorario de-la Real chancillería dé Valladolid, y teniente corregidor de esta muy heroica villa, refendadá de D. Pascual Seco, escribano Réal y dél nñmero de la misma, y en cumplimiento de lo decretado por los Sres. del Real y Su premo Consejo de Castilla, se ha mandado publicar por otros 15 días la casa que en la calle de Hortaleza se distingue con el núm. 3 de la manz. 304, que ti…</t>
  </si>
  <si>
    <t>…el Sr. D. Angel Fernandez de los Ríos, del Consejo de S. M., oidor honorario de la Real chancillería de Valladolid, y teniente corregidor de es ta muy heroica villa, refrendada de D. Pascual Seco, escribano Real y del número de la misma, se ha señalado para el tercer remate de una casa sita en la calle de Hortaleza, núm. 3 , manz. 304, el día 12 del próximo mes de Marzo á las 12 de medio día en su audiencia. Por providencia del Sr. D. Joaquín de Almaz…</t>
  </si>
  <si>
    <t>…ia el día 26 de Noviembre de 1816 en el expresado lugar de Viergol, para que dentro del preciso y perentorio término de 30 dias acudan á este su juzgado y escribanía del número de D. Pascual Seco á de ducir su derecho; con apercibimiento de que pasado dicho término se verá y de terminará el asunto según derecho, y les parará el perjuicio que haya lugar. Se halla vacante la cátedra de rudimentos de gramática latina en Villafranca del Vierzo, de riguros…</t>
  </si>
  <si>
    <t>…adas Eneas acuda en el término de 30 dia» ante el Sr. D. AngeL Fernandez de los Ríos, teniente corregidor de esta corte, y por la esgribat)ía,.ciel número de la misma del cargo de D. Pascual Seco, que se ad mitirán las que se hicieren siendo, arregladas. .... Se desea s^jber.el paxadfero de Doña Josefa ó Isabel Benavente, viuda de D. An. dres Barraza y Barfi, ó en defecto de ella el de sus parientes 6 herederos, para co municarles asuntos que les inte…</t>
  </si>
  <si>
    <t>…— ' " ■'■■■ ............... . !1 ■' i' , 1 v " ' ■' " —............ Por providencia del Sr. D. Angel Fernandez de los Ríos, teniente de corregi dor de ésta' corte / refrendada de D. Pascual Seco, escribano Real y del número de la misma, se ha mandado saéár á pública subasta por término de 30 días un pajar sitó en el lugar de Fuencarral, jurisdicción de esta dicha villa, y su calle nombrada dé las Cámaras', comprensivo de 600 pies cuadrados superficia…</t>
  </si>
  <si>
    <t>…proceda á sustanciar la causa con la brevedad que de suyo exige el asunto. Por providencia del Sr. D. Angel Fernandez dé los Ríos, teniente corregidor de esta corte, refrendada de D. Pascual Seco, escribano Real y del número de la misma, se ha trasladado al dia 9 dei mes de Julio, en su audiencia, el remate que sei señaló para el 15 del corriente de los bienes siguientes, sitos en la villa de Viilarejo de Salvanés, y pertenecientes al vínculo que fund…</t>
  </si>
  <si>
    <t>Secre</t>
  </si>
  <si>
    <t>…al orden para su noticia y cumplimiento.” Y la insertamos á V. para los propios efectos. Madrid 13 de Diciem bre de 1817. s.a Con fecha de 14 del corriente ha comunicado el Excmo. Sr. Secre tario de Estado y del Despacho de Hacienda á esta Dirección la Real orden que sigue: „ Enterado el Rey nuestro Señor de una exposición del intendente de esta provincia de Madrid, en la que á nombre de la junta principal de con tribución de ella pregunta si la…</t>
  </si>
  <si>
    <t>…que se sirva expedir por el Ministerio de su cargo las órdenes correspondientes á su cumplimiento. jDíos guarde á V. E. muchos anos. Palacio i.° de Enero de i8i8.=Martm de Garay.=Sr. Secre tario de Estado y del Despacho de Gracia y JusticiaEn virtud de Real facultad cometida al Sr. D. Manuel de Torres Cónsul , d'ei Consejo de S. M. en el supremo de Castilla , -se venden dos casas sit3s en esta corte, la una en la calle Mayor en los portales de…</t>
  </si>
  <si>
    <t>Secretario</t>
  </si>
  <si>
    <t>bre último, al Eterno. Sr. Secretario cíel Despacho de Marina y efe las Co lonias por el teniente general conde Carra Sr. Cir, comandante y administra dor por el Rey de la Guyana francesa. „ Excmo. Sr.: Tengo la satisfacción de participar á V. E. que el 5 de Noviembre desembarqué en Cayena, y que…</t>
  </si>
  <si>
    <t>…no de estos con un egemplar de las Tablas de logaritmos de Callet, y una certificación que haga constar su brillante mérito. Madrid 20 de Febrero. ARTICULO DE'OFICI O. El Exorno.. Sr. Secretario del despacho de Hacienda ha comunicado con fecha 10 de este mes al Excmo. Sr. Almirante duque de Veragua, presiden te del supremo Consejo de Hacienda, la Real orden que sigue: ,, Excmo. Sr.: El Rey nuestro Señor se ha servido acceder á lo que V. E. propone,co…</t>
  </si>
  <si>
    <t>…. Paso Real del Caiman á 21 de Marzo de 1818. = Excmo. Sr.=: Rafael López. = jExcmo. Sr. general en gefe. == Es copia.=Morillo.” El mismo general D. Pablo Morillo remite al Excmo. Sr. Secretario del despacho de la Guerra, con fecha de 10 de Abril, copia del parte que le ha dado el capitán D. Bartolomé Martínez, comandante del cantón de Orituco, en Venezuela, el cual es como sigue *. ,,Excmo. Sr.: Hallándose, como tengo anunciado á V. E., el rebelde1…</t>
  </si>
  <si>
    <t>Segador, Josef</t>
  </si>
  <si>
    <t>Josef Segador</t>
  </si>
  <si>
    <t>…o Campománes y ios subtenientes D. Antonio Villalba y D. Rafael Villavicencio, heridos de gra vedad: el capitán D. Manuel Velazquez , los tenientes D. Juan Sorelo, Don Juan Gómez, D. Josef Segador, D. Josef Elua y D. Manuel Martin Alvarez, y los subtenientes D. Tiburcio de Cañas, D. Antonio Tuya, D. Ma nuel Sánchez Trívino y D, Martin de Santiestéban, heridos. Dragones de S. Luis: el capitán D. Anastasio Bustamante herido. Dragones de S. Carlos: el cap…</t>
  </si>
  <si>
    <t>Segis</t>
  </si>
  <si>
    <t>…n inas citarles ni emplazarles, se procederá en el asunto i lo que corresponda, y les parará entero perjuicio. Los elementos de veterinaria dados á luz en virtud de Real orden por D. Segis mundo Maials, alcalde mayor examinador del tribunaldel Real Proto-albeiterato, y su actual decano, para la enseñanza de los alumnos del Real colegio de veterina ria de Madrid, y de cuantos se dediquen á dicha ciencia, que se componen de 10 volúmenes en 4.0, á…</t>
  </si>
  <si>
    <t>Seguí, Diego Raimundo</t>
  </si>
  <si>
    <t>Diego Raimundo Seguí</t>
  </si>
  <si>
    <t>…yud, Doña María Teresa Lisperguer, arciprestazgos del obispado de Sigüenza, orden de'S. Juan, villa de Castel-Dasens, corregimiento de Lérida, D. Luis Calatayud, y conde de Sirat, D. Diego Raimundo Seguí, D.Bernard,ino Luis de Ardena y Darmus, D. Antonio de Villalbá, y D. Pedro de Ribero. Lo que se avisa de orden del,, Consejo para qué los respectivos interesados en los mencionados papeles acudan, si les conviniese , á recogerlos dei referido D. Vicente Tranc…</t>
  </si>
  <si>
    <t>Segura, Domingo</t>
  </si>
  <si>
    <t>Domingo Segura</t>
  </si>
  <si>
    <t>…de la Granja 6 pesos, D. Pablo Echezuria 10, D. Francisco de Azpurua 20 , D. Juan Santos de Larrazabal 5, D. Josef Jesús Goenaga 10, D. Miguel Martínez 5, D. Pedro Aguerrebere 5, D. Domingo Segura 5 , Don Bartolomé Echenique 5 , D. Toribio Espinosa 20, D. Juan Plá 5 , D. Lo renzo Treillan- 5 , D. Francisco Espelosin 10, D. Miguel Portillo 5 , Don Juan: Hernández 6 , D. Josef Baez 2 , D. Josef Arrese 4, D. Francisco-Ruz 1, D. Josef Manuel Chirinos 4 , D…</t>
  </si>
  <si>
    <t>Segura, Estanislao</t>
  </si>
  <si>
    <t>Estanislao Segura</t>
  </si>
  <si>
    <t>…ingo López de Letona: la de igual clase en la colegiata de nuestra Señora de Gua dalupe de México á D. Josef María Quüez: las cánongías de idioma mexica no en la propia iglesia, á D. Estanislao Segura y á D. Francisco Valladares; y las raciones, también de idioma mexicano, á D. Dímas Maldonado y á D. Josef Alarcon: la canongía lectoral de la santa iglesia catedral de Monterey, nuevo reino de León , á D. Josef Francisco Arroyo, y á-D. Pedro Hom bre ja canon…</t>
  </si>
  <si>
    <t>Segura, Josef</t>
  </si>
  <si>
    <t>Josef Segura</t>
  </si>
  <si>
    <t>…dun,~Bordá y Pingré en su viage hecho en 1771 y 72* Navegando para las Islas Terceras en Julio de 1816 la barca particular nombrada Nuestra Señora 'del Carmen, descubrió su piloto D. Josef Segura á las siete y media de la tarde del dia 25 de dicho tnes una vigía ó escollo que parecía como un barco anegado, y estuvo viendo con toda la tripula ción por espacio de 2o' hasta qué la noche impidió su vista: á los cuatro diai de navegación recaló á la isla d…</t>
  </si>
  <si>
    <t>Selkirk</t>
  </si>
  <si>
    <t>…; y que ha de renunciar sus pretensiones á la soberanía. ' ‘ ; Idem 2j. Las ultimas cartas de Nueva-Yorck hablan de la inquietud que causa en los Estados-Unidos el pensamiento del conde Selkirk de reunir las dos compa ñías de la bahía de Hudson y del Noroeste: plan que haria á las dos asocia^ones dueñas de todo el comercio de peleterías. Los Estados-Unidos sienten*, aunque tarde, no haberse apoderado de este lucrativo ramo de industria. , FRANCIA. '…</t>
  </si>
  <si>
    <t>Selma, Fernando</t>
  </si>
  <si>
    <t>Fernando Selma</t>
  </si>
  <si>
    <t>…en pliego de marca imperial, copiado del cuadro de D. Fran cisco B.iyeb, pintor de Cámara de S. M. Católica, que se conserva en el convento de íi. Pascual de Aranjuez, grabado ppr D. Fernando Selma, á 60 rs.^Nuestra Seño ra cíe ía Perla en pliego de marca mayor, del cuadro de Rafael de Urbíno, que se conserva en S. Lorenzo del Escorial,, grabada por el mismo Selma, á 50 rs.-..Nues tra Señora del Pez, de igual tamaño, del cuadro de Rafael de Urbino, que…</t>
  </si>
  <si>
    <t>…— ; Estampas qué se hallan 'vétibles ttíla caIcogfajia de la imprenta 'Reai. En piie• go de •««&amp;«:«'imperial liEl-Pásmo de:Sicilia ,del; original dé Rafael-de Urbino, gra bada por D. Fernando Selma, á 80 rs._La bendición de Jacob á sus nietos., del original del Güerchino, por D. Raféel Esteve, á Óo._La Caridad romana,, del -original de -Murilló, por D. Tomas López Enguídanos , á 60. (Se continuara.} ■ ■ ■ ■ 11 ' 1 »'|H i» ■•■■■» lili. ■■ 1 1 ■" « ' »" .…</t>
  </si>
  <si>
    <t>…a de Canaan, llevando consigo Süs ganados y cuanto habia adquirido: copiadas de los originales de Lucas Jordán que se hallan en el Real palacio de Madrid, dibujadas y grabadas por D. Fernando Selma.,Se hallarán á 20 rs. Jas,dos en el almacén de estampas, calle Mayor, frente á la casa del Excmo. Sr. conde de Oñate. EN LA IMPRENTA REAL.</t>
  </si>
  <si>
    <t>Senmanat, Pascual</t>
  </si>
  <si>
    <t>Pascual Senmanat</t>
  </si>
  <si>
    <t>791* go de. la ¿laza dé Alcáritafa al brigadier D. Pascual Senmanat, capitán del primer regimiento de Reales guardias de infantería: la sargentía mayor dé la plaza de Santánder al teniente coronel graduado D. Pedro Suarez Quitos,, capitán del regimiento infantería de la Princesa: la de la plaza de Lima á Don Josef Lanao, capi…</t>
  </si>
  <si>
    <t>Senosiain, Isidro</t>
  </si>
  <si>
    <t>Isidro Senosiain</t>
  </si>
  <si>
    <t>…rido el poder necesario para nombrar sucesor de este destino al Señor X&gt;. Vicente Martínez, médico segundo de cámara, vocal nato de Ja junta suprema de medicina del reino &amp;c., y á D. Isidro Senosiain: la dotación anual de este parti do es de 600 pesos fuertes valor de aquel país, ó póoo rs. vn. pagaderos por tercios de 3200 rs. cada uno. La reputación de los cirujanos que han ocupado esta plaza , la localidad del pueblo , pues se halla situado á cuatro le…</t>
  </si>
  <si>
    <t>Serarols, Jaime</t>
  </si>
  <si>
    <t>Jaime Serarols</t>
  </si>
  <si>
    <t>…icha villa D. Josef Portell, siendo muy grande el concurso de sugetos instruidos que asistieron de los lugares vecinos, hasta de Vich y Manresa. Recitaron en sus respectivos actos D. Jaime Serarols una oración latina en defensa de la enseñanza pública; D. Francisco Vintró un poema latino en elogio del Angélico Dr. Sto. Tomas; D. Josef Radia y Vilarmau, colegial, un discurso sobre la utilidad de los certámenes, y otro Don Manuel Casanovas de la importanc…</t>
  </si>
  <si>
    <t>Seriñá, Ramop Muns y</t>
  </si>
  <si>
    <t>Ramop Muns y Seriñá</t>
  </si>
  <si>
    <t>…las úna"relación &gt; exactai I^staíue leidaend.a .juntaque celebró: la cRealj academia,' presidida: por el.Excmo. Sr. capitán,generalidé este principado * el dia 3 del corriente por D. Ramop Muns y Seriñá, socio:numerario de la misma; Concluida su lectura, acordó la academia que se imprimiese á sus expensas el elogio fúne bre de). P. Canellas, paria que po quedasen en el olvido sus eminentes serví$jo%.J2utre ¡rapto se.da^^irpúküccit^^lgñienteiresúiiiéñ. • vr..…</t>
  </si>
  <si>
    <t>Serrano, Tomas</t>
  </si>
  <si>
    <t>Tomas Serrano</t>
  </si>
  <si>
    <t>…Hidalgo; en Santiago en la de Romero; en Valencia en la de Cabrerizo; en Zaragoza en la de Sánchez; en Málaga en la de Aguílár; en Pamplona en la de Longas, y en Murcia en casa de D. Tomas Serrano. • Cpmpendió de gramática castellana, dispuesto en diálogo para, la, mejor instruc ción ,de los niños que concurren, á las escuelas, por un profesor de primera^ Letras dej. colegio de esta corte. Esta obrita , reducida á siete pliegos en 8.°, se halla divj'di…</t>
  </si>
  <si>
    <t>Serrano, Tomas Juan</t>
  </si>
  <si>
    <t>Tomas Juan Serrano</t>
  </si>
  <si>
    <t>…Hidalgo; en Santiago en la de Romero; en Valencia en la de Cabrerizo; en Zaragoza en la de Sánchez; en Málaga en la de Aguilar; en Pamplona en la de Longás, y en Murcia eñ casa de D. Tomas Juan Serrano. El precio de la suscripción es de 29 rs. de vh. por'tres meses, siendo el porte por cuenta dé los señores suscriptores. En este periódico sé juzgan'y extractan las obras nías interesantes qúé sé publican en Eu ropa,'se da noticia de los descubrimientos é inv…</t>
  </si>
  <si>
    <t>Sesé, Josef Clavero y</t>
  </si>
  <si>
    <t>Josef Clavero y Sesé</t>
  </si>
  <si>
    <t>…ontar, y asimismo se le da sitio donde únicamente pueda tener ¡a escuela. Los pretendientes que se hallen con competente título, y aspiren á obtenerla, di rigirán sus memoriales á D. Josef Clavero y Sesé y D. Esteban de la Peña y Cues ta, regidores de dicho ayuntamiento, hasta el día 20 del presente mes de Diciembre, en que con vista de ellos, y de las cualidades que en cada uno concurran, acordará la provisión. Piadoso cotidiano egercicio: método fácil para asistir con p…</t>
  </si>
  <si>
    <t>Sexmilo, María</t>
  </si>
  <si>
    <t>María Sexmilo</t>
  </si>
  <si>
    <t>…e providencia del Sr. D. Manuel Josef Rubio, del Consejo de S. Al., teniente corregidor de esta muy heroica villa, se cita y emplaza á D. Agustín de Trápaga, D. bebastian Cardiel, Doña María Sexmilo» D. Miguel Sanz, D. Estéban delHoyo, D. Juan de Goya, y á los interesados en la testamentaría de D. Josef Antón; y por fallecimiento de ellos á sus herederos sucesores en sus derechos, como acreedores de la testamentaría de D. Manuel de Ezquerra y Trápaga, ve…</t>
  </si>
  <si>
    <t>Shvosccff</t>
  </si>
  <si>
    <t>…de su reglamento-una comisión para Iqfce las examinase sepa radamente. Esta cómision, presidida por el contador general del imperio, se compone del consejero privado y senador el conde Shvosccff; del mayor ger neralAdadourcff; del consejero de comercio: Molwo &gt; y de. Gólascheuski, cor merciante de-Drietegorski. .. c*-"■f-- ‘ • Idem 27* : . “ i'-En: tiempo de la Emperatriz Catalina xi.se«mandaron construir aquí dos magníficos edificios de mármol: el n…</t>
  </si>
  <si>
    <t>Sibílla, Juan M.</t>
  </si>
  <si>
    <t>Juan M. Sibílla</t>
  </si>
  <si>
    <t>…* y’refrendada del escribano de provincia y ‘comisiones de la misma D. Luis López de CaStro , sé citaS llama y emplaza^pór- tér mino de 20 días, contados desde esta publicación, á D. Juan M. Sibílla, sus hijos, herederos y sucesores, para que por sí ó por medio de procurador, con poder bas tante, se muestren parte en el espediente formado por D. Francisco Carro, vecino de la villa de Baena, sobre reintegro de un vale Real de 300 pesos, creación de i.° de…</t>
  </si>
  <si>
    <t>Sidmoúth</t>
  </si>
  <si>
    <t>…negociaciones relativas á este préstamo. Se espera aquí de un dia á otro al duque de Wellington, quien parece se detendrá poco tiempo, y en seguida volverá á París. Se asegura que lord Sidmoúth ha mandado poner en libertad á todos los presos de Estado, obligándoles solamente á dar fianzas. ■ FRANCIA. París de Enero. El buque el Séneca &gt; capitán Clarke, que llegó á Nueva-YorcR el i.# dé Noviembre, habiendo hecho escala en la isla de Sta. Elena, dice…</t>
  </si>
  <si>
    <t>Sidmouth</t>
  </si>
  <si>
    <t>…do conceder dilacion alguna. Espero inmediatamente la contestación..¿Arturo Tkistley/ooJ.+zfií mMy ho norable lord. Sidmouth.** El fiscal manifestó en seguida al tribunal que lord vizconde Sidmouth no tenia ni podía tener animosidad ,personal contra Arturo Thistlewood; pero que había ¿dado este paso por consideración a la dignidaddel alto de*tinoque egerce en .el estado. ... El tribunal accedió á la petición en la forma acostumbrada. . FRANCIA. , Paris…</t>
  </si>
  <si>
    <t>Sidmouth-</t>
  </si>
  <si>
    <t>…tribunal de Kingsbench se ha presentada una querella extraordina ria- Habiendo tomado.el. fiscal la palabra habló á los jueces en estos términos: ,»Milo res*- A instancia del lord vizconde Sidmouth-, que está presente, me dirijo 4 V'V. pidtendo caucion de seguridad y la intervención del .tribunal</t>
  </si>
  <si>
    <t>Sido, Antonio</t>
  </si>
  <si>
    <t>Antonio Sido</t>
  </si>
  <si>
    <t>…n, se devolverá á cada uno lo que haya adelantado.” En la sesión que celebró el 11 del corriente la Real academia de Ciencias naturales y artes de esta ciudad el socio de la misma D. Antonio Sido leyó una memoria , en la que hizo ver que la mecánica es la mas importante de las ciencias que debe poseer el buen arquitecto, y que este no debe ignorar el cálculo infinitesimal, por ser él la base de la mecánica, y por tener su ma yor aplicación á la arquit…</t>
  </si>
  <si>
    <t>Siepra, Bartolomé</t>
  </si>
  <si>
    <t>Bartolomé Siepra</t>
  </si>
  <si>
    <t>…en 28 de Mayo de 1817 la dirección é inspección general del ramo de aguas minerales de España, se hace saber al público que las de Panticosa , en el reino de Aragón, al cargo del profesor D. Bartolomé Siepra, fesidenre hasta fines del mes actual en Molina de Aragón, empiezan á usarse desde i.° dé Julio hasta 3* de Agosto; que los baños de Caldas de Tuy, en Galicia, al cuidado del médico D. Pedro Sanjurjo, establecido en la expresa da ciudad de Tuy, principian á t…</t>
  </si>
  <si>
    <t>Sierra, Manuel Manrique y</t>
  </si>
  <si>
    <t>Manuel Manrique y Sierra</t>
  </si>
  <si>
    <t>…isco Espar 6, D. Fran cisco Ríos i , Sr. marques dy Mijares 2 , D. Lorenzo Solórzano 10, D. Pe dro Josef Solórzano 16, DvJuan; Jósef Echezuria y Echeverría 6 &gt; D. Pablo Gascue ■*, D. Manuel Manrique y Sierra 6' ,T). Feliciano Palacios 6yD. Juan • Josef Bahamondé 6 , D. Manuel García de Noda 2 , D. Francisco Cartagena 6, jb. Jaime Cedo 4, D. Manuel Franco y, D. Ignacio Sosa 6, D* Bernardo Ferrara 6 , D. Juan Lander 4, Doña María Gerónima Tovar 4, D. Andrés . de Ib…</t>
  </si>
  <si>
    <t>Sierra, Ramón de</t>
  </si>
  <si>
    <t>Ramón de Sierra</t>
  </si>
  <si>
    <t>…o é igual mente llamo y emplazo á los gestantes acreedores de-los contenidos en la precitada sentencia de graduación, que son á saber: los hijos y herederos de U-Josef.Fernan dez, D. Ramón de Sierra, Real monasterio de Sras.-Comendadoras de Santiago,; D. Rafael de Novales¿&lt; regidor que era de esta vHlá^hijq y héredero de D. Juan Joaquín de Novales ,patrono de las memorias que¡&amp;n&lt;ÍÓrJu..3q Jferirero, Antóniq y Lorenzo ^Sastre * I&gt;./Pedro Ilundain , uno ;d…</t>
  </si>
  <si>
    <t>Silva, Diego Velazquez de</t>
  </si>
  <si>
    <t>Diego Velazquez de Silva</t>
  </si>
  <si>
    <t>…9^ r &gt; Continuación de las estampas que se hallan de venta en la calcografía de la imrenta Real» rz En medio pliego de marca mayor. =. Cuaderno 12. Josef Ribera, ablo de Céspedes, D. Diego Velazquez de Silva, Alonso Cano, Bartolomé de Mu-f rillo, y Juan de Herrera: 13. D. Iñigo López de Mendoza, Juan Ginés de Sepúlveda, Francisco de Salinas, Fr. Benito Gerónimo Feijoo, D. Alonso Perez de Guzman, y Rodrigo Diaz de Vivar. £Se continuara*) Por providencia del Sr. D.…</t>
  </si>
  <si>
    <t>Silva, Rafael</t>
  </si>
  <si>
    <t>Rafael Silva</t>
  </si>
  <si>
    <t>…e tuvieron las armas del Rey nuestro Señor en ios dos cho ques acaecidos con los rebeldes. „ Faltaría á mis deberes si no recomendase á V. E. al expresado Reguera y al subteniente D. Rafael Silva j por la actividad con! que desempeño está co misión, habiendo tomado muy acertadas medidas para el logro de tan glorio sa aunque pequeña empresa, igualmente que á todos los demas individuos que! le acompañaron y contribuyeron á ella, para las gracias que ten…</t>
  </si>
  <si>
    <t>…E. en vísta,dé esté parte ha mandado darías gracias al capitán Regue ra, y á todos lasque concurrieron á la expedición, y ha concedido al alfé^rez debrea^nsiffntoiáe: Nueva-España D. Rafael Silva, y á los de realistas Don Ignacio Carrasco y D. Luis Roaro él grado de tenientes en su respectiva cla se. El de alférez de realistas al patsatío 0. Cayetano Soríano, y la gratifica-* clon de 20 pesos por mitad de las Contribuciones de Acambaro á los paisanos…</t>
  </si>
  <si>
    <t>Siolciau, Josef María</t>
  </si>
  <si>
    <t>Josef María Siolciau</t>
  </si>
  <si>
    <t>…erecho y justicia, la que se les admi nistrará en lo que la tuvieren; con apercibimiento que transcurrido dicho término sin haberlo hecho les parará el perjuicio que haya lugar. \ D. Josef María Siolciau, subteniente que fue del regimiento infantería de la Muerte, que por la extinción de este en Extremadura el mes de Marzo de 1810 fue. destinado con igual empleo de agregado al de Lobera r permaneció en este hasta principios de r8u,que pasó al batallón de Tira…</t>
  </si>
  <si>
    <t>Sioldau, Josef María</t>
  </si>
  <si>
    <t>Josef María Sioldau</t>
  </si>
  <si>
    <t>…uartos, en.las. librerías d*Pérez, .cajle-ds Jas Carretas, y de Ranqps ^ carrera de . S. Gerónimo. • r ■ Nota. En la gacetadel martes 28 del pasado , ipági 418, Iín.2 2,donde dice D. Josef María Sioldau, debe decir D. Josef María Rolan................ _c............ — " I I ■ LA IMPRENTA REAL.</t>
  </si>
  <si>
    <t>Sivilla, Juan M.</t>
  </si>
  <si>
    <t>Juan M. Sivilla</t>
  </si>
  <si>
    <t>…sma D. Luis López de Castro, se cita, llama y emplaza por ter cero, ultimo y perentorio término de 15 dias, contados desde la publicación en la gaceta ministerial de esta corte, á D. Juan M. Sivilla, sus hijos, herederos ó suceso res , para que por sí ó por medio de procurador con poder bastante se muestren parte en el expediente formado por D. Francisco Cano, vecino de la villa de Bacna, sobre reintegro de un vale Real de goo pesos, creación de i.° de E…</t>
  </si>
  <si>
    <t>Sixto, Tomas</t>
  </si>
  <si>
    <t>Tomas Sixto</t>
  </si>
  <si>
    <t>…ente y Miro, y el ar-, tista y constructor de instrumentos físicos y químicos D. Antonio Banelli¿ los. mismos que en compañía del capitán retirado del Real cuerpo de Artille** ría D. Tomas Sixto, construyeron el aparato y los demas ensayos de que han hecho mención los papeles públicos. Madrid 15 de Mayo. En el sorteo de la Real lotería moderna celebrado el dia 14 del presenté salieron sorteados con los premios mayores los números siguientes: Números.…</t>
  </si>
  <si>
    <t>Skeene</t>
  </si>
  <si>
    <t>…tes noticias relativas á algunos aventure ros que han abrazado la injusta causa de los insurgentes de la América del Sur. El buque llamado Indiano, que llevaba á bordo al teniente coronel Skeene, del deposito de caballería en Maidstone,y 170 oficiales ingleses, ha nau fragado en Ushant, sin que se haya salvado uno solo. El referido teniente coronel era de edad avanzada, y se dice que le acompañaban su muger y to da su familia para establecerse en la…</t>
  </si>
  <si>
    <t>Smith</t>
  </si>
  <si>
    <t>…&lt;bres, marchó en derechura s Ponah para proteger la persona del peishwa, y *para obrar bajo sus inmediatas órdenes. í „Este egército llegó á fasinmediaciones.de Ponah antes que el coronel Smith, quien se había puesto en marcha con 4© hombres para oponerse, al. cn.e-migo. La primera acción se díó á corfadistancia déPonah, dondedos/máratas fueron vencidos , pero no desalentados ^puesnelvii^ hubo otra accioñ reñida no lejos de Ponah. En una yotra batal…</t>
  </si>
  <si>
    <t>Sobolewski</t>
  </si>
  <si>
    <t>…a a de Marzo. So asegura que el dia 12 del corriente llegará á esta capital S. M. el Em«perádery paVa cuyo recibimiento se están- haciendo , grandes preparativos en el palacio. El conde Sobolewski, ministro secretario de Estado, llegó ya de ■Mosco^él 26 dé!anterior» ' AiftWyér sé publicó aquí Un rescripto de Sí M. el Emperador, con fecha del 17 del mes próximo pasado,concerniente á las disposiciones para la con vocación de Ja Dieta, la cual deberá empe…</t>
  </si>
  <si>
    <t>Sobrino, Manuel Prudencio</t>
  </si>
  <si>
    <t>Manuel Prudencio Sobrino</t>
  </si>
  <si>
    <t>…alcalde mayor de la villa de Ubrique á D. Antonio Villareal y Sanabria: para la de la ciudad de León., va cante por traslación de D. joaquin Ruiz de Arechavaieta á la .de Alará, á D. Manuel Prudencio Sobrino: para la de las Nuevas poblaciones de Sierramorena, su capital la Carolina, á D. Félix Andrés Benitez Martínez, alcalde mayor de Leganés: para esta vara á D. Joaquin Beneito y Beneitorpara la de Sta. Cruz de Múdela á D. Josef Maceda : para la dé Mansiila de l…</t>
  </si>
  <si>
    <t>Soiabad, Francisco</t>
  </si>
  <si>
    <t>Francisco Soiabad</t>
  </si>
  <si>
    <t>…dir £ la calle de. Segovia, núm. 1, cuarto entresuelo * frente la torre de S. Pedro, único, punto en que, se vende; y/los de; afuera pueden di rigir sus cartas francas con sobre á D. Francisco Soiabad, y las mismas señase Habiendo fallecido abíntestato/en Junio de 1817 en el Real sitio de Aranjucz María Losada, muger de Manuel Herencia, se radicaron los autos correspondientes en el juzgado del asesor teniente gobernador del mismo, y escribanía de D. Josef…</t>
  </si>
  <si>
    <t>Soicr, Tádeo</t>
  </si>
  <si>
    <t>Tádeo Soicr</t>
  </si>
  <si>
    <t>…s egércitos, y presidente del reino de Quito , D. Juan Ramí rez, en consideración á sus distinguidos servicios . Por providencia del alcalde decano de fa Real Gas» y Corte el Sr*. D. Tádeo Soicr ,juez' de da' tes tamcn caria. del Sr. O. Francisco Cabarrüs . conde de este título se ‘■••«i* rt “• .«-í</t>
  </si>
  <si>
    <t>Sol, TadeR</t>
  </si>
  <si>
    <t>TadeR Sol</t>
  </si>
  <si>
    <t>…pe~os ~c .'f.~ (fe Mayo de r808,. número/481455 J para que dentro del termino' de 30' dias" contados desde esta pllblicacion, comparezcan por sí ó po~ apoderádo en el juzgado de] Sr. D. TadeR Sol~r, rninistro electo del Consejo Real" alcalde decano, de la Real -Casa y Corte,' po'r,la escriba,nÍa de provincia?e D. Fr.ancisco :Montoy~ t á ~ecir y ale~B;lr, 4e $1 derecho en la dem~nda de reclamaclon de dIchos vales; en lntehge~c.la· q~e ~l perjuicio que…</t>
  </si>
  <si>
    <t>Sola, Antonio</t>
  </si>
  <si>
    <t>Antonio Sola</t>
  </si>
  <si>
    <t>contusos son el teniente D. Josef Gorro, y los subtenientes D. Antonio Sola* no y D. Josef Colmenero: los oficiales muertos del regimiento húsares de Fernando vn son el capitán D. Manuel Santander, el teniente D. Alfonso Huesca y el alférez D. Genaro Pañego. Fue muerto ademas el coronel co mandante de dragones de la Union D. Josef de…</t>
  </si>
  <si>
    <t>Sola, Josef</t>
  </si>
  <si>
    <t>Josef Sola</t>
  </si>
  <si>
    <t>…isco Lavalette y Rada; D. Rafael Suarez y Ceuti; D. Josef María Nuñez y Fernandez ; D. Josef Villamil y Uriarte; D. Narciso Ár'espacochaga y Bertendona; D. Josef XJrbina y Daoiz ; D. Josef Sola y del Castillo ; D. Pedro Villar y Abello \ Don Diego Fernandez Carcelen; D. Antonio Lardin y Pinto; D. Antonio Fer* nandez Carcelen; D. Francisco Osorio y Bernal; D. Manuel Marín y Ra mos; D. Juan López y Martínez, y D. Mariano dé la Vega y Romero. Quien qui…</t>
  </si>
  <si>
    <t>Sola, Salvador</t>
  </si>
  <si>
    <t>Salvador Sola</t>
  </si>
  <si>
    <t>…nción, P* Ro drigo López de Artieda con.uu endecasílabo, á que se siguió un discurso latino contra el infeliz éxito de los Impíos en la guerra pasada, que pronunció el seminarista D. Salvador Sola. Tras de esto tradujeron los autores de; pura la tinidad y los poetas del siglo de oro, explicando lo concerniente á las partes de la gramática, notando los tropos y figuras de la retórica con. las alusiones á la mitologías. Recitaron Igualmente las épocas me…</t>
  </si>
  <si>
    <t>Sola, Serafín</t>
  </si>
  <si>
    <t>Serafín Sola</t>
  </si>
  <si>
    <t>…es pagan al Estado 900S) libras esterlinas de con tribución. La discusión de este asunto está señalada para el dia 12 del cor riente. Africa. Tánger 16 de Marzo. El médico español D. Serafín Sola, que se halla en Fez curando á dos sultanas, la una muger del Rey, y la otra su nuera , valiéndose del concepto muy distinguido que goza en el ánimo de este Príncipe , y usando de la fran queza que le presta su facultad para hablarle de la importancia de inco…</t>
  </si>
  <si>
    <t>…la Cámara ha concedido una ren ta de 6© libras esterlinas á la duquesa á título de viudedad en caso de que sobreviva á su esposo. { AFRICA. ' Tánger 20 de Abril. El médico español D. Serafín Sola escribe desde Fez, con fecha 4 de Abril, lo siguiente: ^ ,, Acaba de saberse aquí de positivo que el contagio se ha declarado en Oran , y que reina con bastante intensidad en sus inmediaciones y en las de Argel: los habitantes de Tremecen y Ushda están muy at…</t>
  </si>
  <si>
    <t>…in y Calcagni. En el mismo consistorio ha ' nombrado S. S. varios arzobispos y obispos en los reinos de Ñapóles y de Baviera* AFRICA. ' Tánger oy de Abril. &gt; . . El médico español D. Serafín Sola comunica desde Fez,con fecha de 18 del actual, la buena salud de aquel país,y la cuarentena de observación que</t>
  </si>
  <si>
    <t>…laza, y las. aclamaciones, de estos habitantes. A pesar de las insinuaciones del cuerpo consular no han podido prevalecer en esta ocasión las precaucionen de las leyes de sanidad. D. Serafín Sola escribe desde Fez, con fecha de 8 del corriente, que hace tres dias supo que habían llegado arrieros de Tremécen, y reconoció venían con 15 cargas, una de algodón y las demas de seda y drogas: todos estos efectos, que son de la Meca y Smirna, llegaron por mar…</t>
  </si>
  <si>
    <t>…a, en uso de la correspondencia que había este pensado seguir por tierra con aquel funcionario,’quien asegurándole, con referencia á cartas ae 6 del propio mes -del médico español D. Serafín Sola, residente en Fez, que en aquella corte se experimentaba una salud poco común en la estación , y que tampoco se sabia hubiese novedad en la de Jais demas poblaciones del reino de Marruecos, es taba también indeciso sobre el carácter del contagio de Tánger, do…</t>
  </si>
  <si>
    <t>866</t>
  </si>
  <si>
    <t>…encia de los cónsu les , y dado el habla al vice-cónsul ingles, que fue el único que se presentó al buque. De la correspondencia oficial aparece haber declarado el medico espa ñol D. Serafín Sola el 8 del actual que la enfermedad contagiosa de Tánger es la peste levantina ó de bubón; y el citado vice-cónsul expuso lo mismo á los comisionados, que también se había extendido á otros lugares , distante el que mas cinco leguas de Tánger, y que en uno inme…</t>
  </si>
  <si>
    <t>Solaba, Serafín</t>
  </si>
  <si>
    <t>Serafín Solaba</t>
  </si>
  <si>
    <t>…ella ciudad seguía en aumento, y en los 14 dias corridos desde el 21 de Setiem bre hasta 4 del actual murieron 148 personas. ,Añade el cónsul general de S. M. en aquella plaza que D. Serafín Solaba interrumpido sus observacio nes por haber fallecido el que le ayudaba en ellas; y que del estado de salud de Tetuan y de Fez sé hablaba alli con variedad. En Argel parece haber calmado la peste, pues en todo el mes pasado nin gún dia han excedido los muertos…</t>
  </si>
  <si>
    <t>Solano, Estanislao</t>
  </si>
  <si>
    <t>Estanislao Solano</t>
  </si>
  <si>
    <t>…tuarán en Estepona y Marbella. / ‘ •' i , Distrito de Málaga. . Primer gefe el Excmo. Sr. gobernador D. Rafael Trujilío, mariscal de campo de los Reales egércitos; segundo gefe ei brigadier D. Estanislao Solano., Este distrito se subdividirá en tres partidos, al cargo del comandante del regimiento infantería de Jaén D. Antonio Romero de Leis, que se situará en Torre-Molinos; del mayor comandante de caballería de la costa de Gra nada D. Bernabé Arranz, que manda, las…</t>
  </si>
  <si>
    <t>Soler, Francisco</t>
  </si>
  <si>
    <t>Francisco Soler</t>
  </si>
  <si>
    <t>…lecimiento de D. Alejandro Perez Romero, á Don Josef Sánchez Madueño , capellán párroco del tercer regimiento de Artillería: en la de Tortósa, por!fallecimiento de D. Juan Peña, á D. Francisco Soler, capellán del regimiento de caballería de España: en la de Segovja, por muefte dé D. Juan de Benito, á Di Juan Antonio Jordán, capellán del regimien to de caballería de Borbon: eñ la de Lérida, por la dé D. Josef Villar Gorozabel, á D. Lorenzo -Leris, capellá…</t>
  </si>
  <si>
    <t>Soler, Miguel Francisco</t>
  </si>
  <si>
    <t>Miguel Francisco Soler</t>
  </si>
  <si>
    <t>…lalde y los subte nientes D. Ramón Canardo y D. Manuel Fernandez Parrado, muertos 1 el ca pitán E&gt;. Manuel Berdiales , el ayudante mayor D. Pedro María Hgarte, et segundo ayudante D. Miguel Francisco Soler , los tenientes IX Francisco de</t>
  </si>
  <si>
    <t>Soler, Tadeo</t>
  </si>
  <si>
    <t>Tadeo Soler</t>
  </si>
  <si>
    <t>…se actúe y resuelva el mismo perjuicio que si fuese con su intervención y audiencia, según asi resulta de los autos que existen en la escribanía de D. Elias Izquierdo y Papan. El Sr. D. Tadeo Soler, del Consejo de S. M. con honores del Real y suprera® de Castilla, alcalde decano de la Real Casa y Corte, se ha servido convocar á jun ta general de acreedores á la quiebra de Lloret y sobrino, de Zaragoza, para el do mingo 7 de Junio próximo á las nueve de…</t>
  </si>
  <si>
    <t>…de 1808, núm. 55267 en D. Juan Apraiz y Repi de, para que en el término perentorio de go dias, contados desde esta publicación^ comparezcan por sí ó por medio de apoderado ante el Sr. D. Tadeo Soler, alcalde; decano de la Real Casa y Corte, y por la escribanía de provincia de D. Francisco Montoya, á deducir y exponer del derecho que crean tener á dichos vales; con apercibimiento que pasado el término señalado sin haber comparecido les parará el perjuicio…</t>
  </si>
  <si>
    <t>…es * parej ea» '.plaza- desl Supremo de Castilla, vacante por fallecimiento deD. NicolasMam &lt;de Sierra i paraotra del mismo Conséjp-, -vacanteMpoy dé D.-Tadeo' /tejando ¿Gómez*. á Don Tadeo Soler,_ decano de la sala de alcaldes derCasa¡ y/Goite: para Ja que1 reásutta eñ este tribunal á D. Joaquín Almajar*, alcalde mayor teniente corre gidor mas antiguo de esta villa: para lá vaf.a de; alcalde mayor teniente cor regidor mas; moderno de esta propia vill…</t>
  </si>
  <si>
    <t>Solis, Antonio</t>
  </si>
  <si>
    <t>Antonio Solis</t>
  </si>
  <si>
    <t>…de Va rones ilustres de la nación española , en 18 cuadernos de á ó, que contienen: i.Q Don Antonio Leiva, Ambrosio Morales,, el P. Juan de Mariana&gt; Fr. Lope Félix de Vega Carpió, D. Antonio Solis, y D. Nicolás Antonio: 2.° el cardenal Gil Albornoz, Gonzalo Fernandez de Córdoba, el gran duque de Alba, Arias Montano, D. Fran cisco Quevedo y Villegas, y D. Juan de Ferreras. (ÍV continuarán.') Por el juzgado de provincia del Sr. D. Andrés Oller,. del Cons…</t>
  </si>
  <si>
    <t>Solís, Nicolás</t>
  </si>
  <si>
    <t>Nicolás Solís</t>
  </si>
  <si>
    <t>bernador que era;de la isla de Cabrera: eh dcCap-de-per^ la-misma isla, al. teniente-"D. Nicolás Solís, ayudante del propio .castillo; ¡a sargentía ma yor de la plaza de Alicante^al teniente.corooej D. Francisco Federic , ca* pitan del regimiento infantería fijo de Ceuta: la ayudantía primera de la de Ceuta al capitán D. Miguel Ibañéz, ayudante segundo de la m…</t>
  </si>
  <si>
    <t>Sollozo, Juan</t>
  </si>
  <si>
    <t>Juan Sollozo</t>
  </si>
  <si>
    <t>…en auxi liar las operaciones del egército, y á su actividad y disposiciones, y á la co operación de todos sus subalternos, entre ellos el ayudante de la escuadra alférez de navio D. Juan Sollozo, se debe la prontitud y buen orden de los embarcos y desembarcos, de la facilitación de las subsistencias y efectos, y de todos cuantos auxilios podían espetarse por parte de la marina Real. Es* toy muy reconocido á tan buenos servidos; y puedo asegurar á V.…</t>
  </si>
  <si>
    <t>Solo, Juan Antonio</t>
  </si>
  <si>
    <t>Juan Antonio Solo</t>
  </si>
  <si>
    <t>…itos. , ,, Dios guarde á V. E. muchos años. Tamasula Marzo 15 de 1818. =Excelentísimo Sr. = Domingo Clavarino. = Excmo. Sr. mariscal de campo D. Josef de la Cruz.” , . i parte del comandante D. Juan Antonio Solo rzana. ,,Eran las .seis de la mañana del dia 6 cuando de sorpresa se me presentó una gavilla compuesta de mas de 500 hombres armados, y divididos en cuatro trozos, tres por él frente y costados de la fortificación, y mas de 150 infantes por la retaguardia, co…</t>
  </si>
  <si>
    <t>Solórzano, Félix</t>
  </si>
  <si>
    <t>Félix Solórzano</t>
  </si>
  <si>
    <t>…e la Corona D. Francisco González, se distinguieron en sumo grado, como igualmente los de caballería del Rey D. Francisco Nuñez, D. Sebastian Barrondo, D. Josef Antonio Martínez,' D. Félix Solórzano y D. Felipe Ramos, que fueron incansables en matar ene migos , como el teniente D. Benito Franco y el alférez D. Miguel Chaparro, todos los que se han hecho acreedores á que V. E. tenga la bondad de elevar su mérito al conocimiento de S. M. Dios guarde á V. E. muchos años. Pas…</t>
  </si>
  <si>
    <t>Solórzano, Fernando</t>
  </si>
  <si>
    <t>Fernando Solórzano</t>
  </si>
  <si>
    <t>…, D. Juan Lander 4, Doña María Gerónima Tovar 4, D. Andrés . de Ibarra 1, D. Juan de la^ Madriz: 3 , D.; Josef María Madriz. 1, D. Juan Josef Rivas y Pacheco 2, D. Lorenzo Lasa 8, D. Fernando Solórzano 10, tÍ), Pedro Goitzalez/.i A J), JosefrtMaríf Monserrafe^D* Josef, María Mu A Josef Ramo» ro 2, D. Esteban de Ponte í^anciscq^Sosajarrera j Zúlüeta i, 13. Miguel Salzaineridf5’,* D. Bernardo Butragueño 3, D. Bemarr?</t>
  </si>
  <si>
    <t>Solórzano, Josefa</t>
  </si>
  <si>
    <t>Josefa Solórzano</t>
  </si>
  <si>
    <t>…-, na 2 , D. Juan Vicente Arévalo 2 , D. Sebastian Fernandez de León 6, Don Pedro Bahamonde 4, D. Siiverio Galarraga 2, D. Fermín Castillo Beitia y hermanos 4 , D. Ignacio Diaz 2, Doña Josefa Solórzano 1, el presbítero Dorr Josef Gregorio Avila 1, D. Josef Navas 2, Sra. marquesa de Casa León iof Total 683 pesos y 4 reales. Pamplona 27 de Agosto. En los dias 19 y 22 de Junio último se celebraron en esta ciudad los exá menes públicos de ios alumnos de las esc…</t>
  </si>
  <si>
    <t>Solórzano, Lorenzo</t>
  </si>
  <si>
    <t>Lorenzo Solórzano</t>
  </si>
  <si>
    <t>…ei 4, D. Antonio Delgado 4 , D. Vicente.Sarria 4, D. Marcial Bei*7 mudez 4, D. Joaquín Reina y Capetilío 8, D. Francisco Espar 6, D. Fran cisco Ríos i , Sr. marques dy Mijares 2 , D. Lorenzo Solórzano 10, D. Pe dro Josef Solórzano 16, DvJuan; Jósef Echezuria y Echeverría 6 &gt; D. Pablo Gascue ■*, D. Manuel Manrique y Sierra 6' ,T). Feliciano Palacios 6yD. Juan • Josef Bahamondé 6 , D. Manuel García de Noda 2 , D. Francisco Cartagena 6, jb. Jaime Cedo 4, D. M…</t>
  </si>
  <si>
    <t>Solprsano, Ramón</t>
  </si>
  <si>
    <t>Ramón Solprsano</t>
  </si>
  <si>
    <t>…e caballería Cristóbal Velazquez •; todos estoí obraron y cumplieron con la mayór exactitud. „ Asimismo recomiendo al teniente político de este pueblo D. Vicente Cenon Carrillo, á D. Ramón Solprsano, á. D. Francisco Ochoa, á D. An tonio Ochoa y D. Francisco Manrique, que con retacos propios hacían fue go al igual de la infantería donde se les ordenaba; y asimismo á D. Pablo Luna con sus dos hijos. - - . • ,, Se lo comunico á vmd. para su satisfacción. ,,…</t>
  </si>
  <si>
    <t>Sombrerete, Conchaen</t>
  </si>
  <si>
    <t>Conchaen Sombrerete</t>
  </si>
  <si>
    <t>…urla; y porque; estoy persua dido iqíie el Sr. Concha habrá comunicado áda superioridad de .W E. las ocurrendas que tuvieron, no me detengo en detallarlas» . j, El 15, quedando el Sr. Conchaen Sombrerete con todas sus fuerzas de operación con el;objeto de perseguir á aquellos bandidos, me dirigí yo con las mías sobre das fronteras del distrito de Tampico ;y, el extremo del de TuX-: pan, sobre la parte del norte, á fin de batir las gavillas, de facciosos que j…</t>
  </si>
  <si>
    <t>Sometiera, Mateo</t>
  </si>
  <si>
    <t>Mateo Sometiera</t>
  </si>
  <si>
    <t>…* ... . . . , ,. ittítyór ,■ Eugenio Trigueros, 15. Manuel Góídero -y Carlos Juntas: en leer y doctrina cristiana á los mismos, y á AngelJLunos, GerÓriinié Ruizy’Migtiei Cordobés, D. Mateo Sometiera, Benigno Vázquez, Pedro Chico, Domingo Sánchez, Hermenegildo Nava, Pedro Calvo, Agustín Avila, Lucas Arroyo, Florentino Díaz, Vicente Juntas, Francisco Ollero, Manuel Herrero y Juan Sánchez de la Torre. Antes de concluirse el acto entregaron á disposición del…</t>
  </si>
  <si>
    <t>Sómorostro, Andrés Gómez</t>
  </si>
  <si>
    <t>Andrés Gómez Sómorostro</t>
  </si>
  <si>
    <t>…. Se hallará á 4 rs. en la libre ría de Sojo, calle de las Carretas. ' Breve oración inaugural que pronunció en la consistorial de Segovia el canónigo de su santa iglesia catedral D. Andrés Gómez Sómorostro, socio de número de la Real sociedad económica de aquella provincia, y como tal individuo de la junta que gobierna la escuela práctica de dibujo, con motivo del restablecimiento de esta ense ñanza el día ide Octubre próximo pasado. Las notas con que ha adorna…</t>
  </si>
  <si>
    <t>Somoza, Joaquin</t>
  </si>
  <si>
    <t>Joaquin Somoza</t>
  </si>
  <si>
    <t>…que protegiese la operación. Todo se verificó con el mayor suceso, y en muy pocos momentos quedamos posesionados de la posición que ocupaban los re beldes. El capitán de dragones D. Joaquin Somoza, muy práctico en el país, condujo la columna con mucho acierto, y se distinguió por su valor. ,, Los enemigos retrocedieron hasta unas casas inmediatas , donde refor zados con gente que les llegó del Norte, se decidieron á ocupar nuevamente el puesto de que a…</t>
  </si>
  <si>
    <t>Sonicza, Joaquín</t>
  </si>
  <si>
    <t>Joaquín Sonicza</t>
  </si>
  <si>
    <t>…e ataque que se apoderó del fuerte, y todos ellos sobresalieron en arrojo y atrevimiento , dan do egempto á sus soldados. ,, El comandante de escuadrón D. Josef Navas y el capiran D. Joaquín Sonicza, tan acreditados y temidos por los rebeldes en la anterior guerra de esta isla, se llenaron de gloria en la atrevida carga que con solo 30 drago nes dieron ¿150 caballos y un destacamento de infantería , en que acuchi llaron mas de 100 hombres; no siendo meno…</t>
  </si>
  <si>
    <t>Sorelo, Juan</t>
  </si>
  <si>
    <t>Juan Sorelo</t>
  </si>
  <si>
    <t>…f Cólomer, el abanderado D. Pedro Campománes y ios subtenientes D. Antonio Villalba y D. Rafael Villavicencio, heridos de gra vedad: el capitán D. Manuel Velazquez , los tenientes D. Juan Sorelo, Don Juan Gómez, D. Josef Segador, D. Josef Elua y D. Manuel Martin Alvarez, y los subtenientes D. Tiburcio de Cañas, D. Antonio Tuya, D. Ma nuel Sánchez Trívino y D, Martin de Santiestéban, heridos. Dragones de S. Luis: el capitán D. Anastasio Bustamante her…</t>
  </si>
  <si>
    <t>Soria, Josef María</t>
  </si>
  <si>
    <t>Josef María Soria</t>
  </si>
  <si>
    <t>Excmo. Sr.es Antonio de Larragoiti.s: Excmo. Sr. vírey D. Juan Rulz de Apodaca.” Parte del capitán D. Josef María Soria. „A la tina de la mañana del 23 del corriente salí de esta plaza y como vmd. me previno en su oficio de 22 del mismo, llevando á mis órdenes 30 infantes de Celaya y realistas de esta ciudad, al mando del teniente D. Fran cisco Qainta ni lia, 18 realistas de c…</t>
  </si>
  <si>
    <t>Soríano, Cayetano</t>
  </si>
  <si>
    <t>Cayetano Soríano</t>
  </si>
  <si>
    <t>ioi€ tos lo fue el mismo cabecilla, que intentando dar una estocada a! paisano Don Cayetano Soríano, le tiró este un pistoletazo, con el que dejó vengado el robó del ganado, que despueS de conducirlo hasta aquel punto lo había enviado á varias partes. Mientras esto pasaba en Sta. Ana, los cabecillas Antonio Ve la seo, titu lado brigadier y comandante genera…</t>
  </si>
  <si>
    <t>Soriano, Miguel Tortosa</t>
  </si>
  <si>
    <t>Miguel Tortosa Soriano</t>
  </si>
  <si>
    <t>1jz El Rey nuestro Señor se ha dignado conceder al presbítero D. Miguel Tortosa Soriano su Real permiso para poder usar de la condecoración de la flor de Lis con que se ha servido agraciarle S. M. Cristianísima. ■ _ &lt; • .... ■ ' i Asimismo se ha servido conceder S. M. á D. Juan Santoyo y Herreros, gobernador político de la villa de Avanilla, en…</t>
  </si>
  <si>
    <t>Soriano, Vicente</t>
  </si>
  <si>
    <t>Vicente Soriano</t>
  </si>
  <si>
    <t>…mes de Abril á las 11 de la mañana abrirá en el Real jardín botánico de Madrid la enseñanza de botánica-médica el profesor de esta ciencia en el estudio Real de medicina-práctica D. Vicente Soriano. A la hora expresada , y hasta fin de Junio, dará sus lecciones en el jardín los martes , jueves y sábados de cada semana, siguiendo el método natural ó de. familias dél célebre Jussieu, como el mas propio para investigar las cualida des medicinales del reino…</t>
  </si>
  <si>
    <t>Soriauo, Josef Benito Romero</t>
  </si>
  <si>
    <t>Josef Benito Romero Soriauo</t>
  </si>
  <si>
    <t>…or. promoción del Dr. D. Josef Sebastian de Goyeneche al obispado He la misma catedral, á D. Juan de Dios Bu Ines ; para la dignidad de chan tre de la iglesia catedral de la Paz á D. Josef Benito Romero Soriauo , ca* nónigo de la misma ; y para la resulta que quedó vagante á D. Luis Rodrí guez de Lema: para la primera de las dos medias raciones nuevamente au mentadas en la iglesia catedral de Guamanga á D. Josef pastor de León-; y para otra media ración, vacante en…</t>
  </si>
  <si>
    <t>Sosa, Ignacio</t>
  </si>
  <si>
    <t>Ignacio Sosa</t>
  </si>
  <si>
    <t>…D. Manuel Manrique y Sierra 6' ,T). Feliciano Palacios 6yD. Juan • Josef Bahamondé 6 , D. Manuel García de Noda 2 , D. Francisco Cartagena 6, jb. Jaime Cedo 4, D. Manuel Franco y, D. Ignacio Sosa 6, D* Bernardo Ferrara 6 , D. Juan Lander 4, Doña María Gerónima Tovar 4, D. Andrés . de Ibarra 1, D. Juan de la^ Madriz: 3 , D.; Josef María Madriz. 1, D. Juan Josef Rivas y Pacheco 2, D. Lorenzo Lasa 8, D. Fernando Solórzano 10, tÍ), Pedro Goitzalez/.i A J)…</t>
  </si>
  <si>
    <t>Sosa, Josef María</t>
  </si>
  <si>
    <t>Josef María Sosa</t>
  </si>
  <si>
    <t>…ta el aparte anterior de los presentados á indulto con Vargas en lolúca. ' ‘ ‘ ' . D. Vicente Vargas, titulado brigadier ; D. Eugenio Montesdeoca , id. sargento mayor. Infantería, D. Josef María Sosa, id. capitán; D. Miguel Loranca, id. teniente ayudante; D. Mariano Astorga/ ¡di id.; D. Narciso Ríos , id. id.; Miguel Somoza, sargento primero; Josef María Vargas, id. id¿; Josef María Gutiérrez; id. segundo; Martia García, id. id.; Ignacio Martinez, tambor;…</t>
  </si>
  <si>
    <t>Sotelo, Juan de Dios</t>
  </si>
  <si>
    <t>Juan de Dios Sotelo</t>
  </si>
  <si>
    <t>…tes de fragata D. Josef Maestre y Osorno y D. Ignacio Fernandez Flores, comandantes de los bergantines Realista y Ven gador, grados de tenientes de navio: á ios alféreces de navio D. Juan de Dios Sotelo , D. Joaquín Blanco y D. Manuel Umendia , empleos de teniente de fragata: al de igual clase D. Josef Alvarez Ramos, grado de teniente de; fra-r gata; y al alférez de fragata, primer piloto de la armada, y capitán de la-fragata mercante titulada Daoiz D. Isidr…</t>
  </si>
  <si>
    <t>Soto, Bernabé</t>
  </si>
  <si>
    <t>Bernabé Soto</t>
  </si>
  <si>
    <t>…al de acree dores é interesados á los bienes quedados por fallecimiento de D. Luis María Mafeo, vecino y del comercio que fue de libros de esta corte. Ignorándose la existencia de D. Bernabé Soto, vecino y natural del lugar de Arion, provincia de Soria, y obispado de Osma, que salió de esta.corte con el gra do de teniente capitán por los años de 803 ú 804 desde la inspección general para presentarse á las órdenes del capitán general de Manila, á fin d…</t>
  </si>
  <si>
    <t>Soto, Ramón</t>
  </si>
  <si>
    <t>Ramón Soto</t>
  </si>
  <si>
    <t>…iento desde mi campo i comprendí que su intención era forzar el punto que cubría por aque^11a parte la corta fuerza del regimiento infantería de la Corona, mandada por el teniente coronel D. Ramón Soto, capitán del mismo cuerpo, y dispuse al momento que 100 hombres de él y 200 del regimiento infantería de Zarago za, á las órdenes del teniente coronel graduado D. Pedro Perez San Julián, capitán de granaderos del propio cuerpo, marchasen con prontitud hacia a…</t>
  </si>
  <si>
    <t>Sotoj, Manuel Riyas Albean y Pérez de</t>
  </si>
  <si>
    <t>Manuel Riyas Albean y Pérez de Sotoj</t>
  </si>
  <si>
    <t>…„ Josef Oyanarte, presbítero én dicha ciudad,. quien como ¡albacea de ht inadre de aquellos tiene que comunicarles asuntos que jes interesan. Quien tuviese noticia del paradero de D. Manuel Riyas Albean y Pérez de Sotoj natural &lt;¡leí valle de Soba, montañas &lt;ié Sintandér, qué pasó á América muchos áño¿ hace, y si éh él casó de haber f$ÍÍ¿cidó dejó hijos 6 héréderpsi legítimos, ise servirá avisarlb ’a D;'Diego de Paláéió^^dbí éórtiérciO' dcs Madrid. -4 EN LA IMPRENTA REAL.</t>
  </si>
  <si>
    <t>Sotomayor, Antonio Valladares de</t>
  </si>
  <si>
    <t>Antonio Valladares de Sotomayor</t>
  </si>
  <si>
    <t>…ueño pueblo de Cas tilla la Vieja, y del modo inesperado con que este defendió su evangélica religión, confundiendo el ateísmo. Dala á luz para gloria de aquella y oprobio de este Don Antonio Valladares de Sotomayor. Se hallará en las librerías de Villa, plazuela de Sto. Domingo; de Higuera, en las gradas de S. Felipe, y de Vizcaíno, calle de la Concepción Gerónima: é igualmente los tomos i.°y 2.0 de la continuación del Se manario erudito en 4.0 y rustica: el i.° y t.° t…</t>
  </si>
  <si>
    <t>Sotomayor, Juan María Alvares de</t>
  </si>
  <si>
    <t>Juan María Alvares de Sotomayor</t>
  </si>
  <si>
    <t>…&gt; en la que con arreglo á lo informado por las respectivas comisiones se asignaron los premios á los mas beneméritos de todas clases. Después de esto el consiliario de agricultura D. Juan María Alvares de Sotomayor leyó un breve discurso acerca de los motivos que ha tenido la sociedad para fomentar las hilazas del lino y algodonó torno con preferen cia á otras primeras materias de que. abunda mas este país * -y en q.ue se da noticia de kvs adelantamientos de este ramo u…</t>
  </si>
  <si>
    <t>Souter</t>
  </si>
  <si>
    <t>…eía firmemente la posibilidad de un paso al N. se vió atajado á los 76o por un continente de hielo que ünia á la Nuevá¿Zembla con Spitzberg y la Groenlandia. Portel contrario , el capitán Souter continuó su viage hasta los 82o por un canal abierto y tranquiló; pero habiendo empezado á desprenderse los hielos que se veian á uno y otro lado del canal., tuvo que abandonar la empresa, rezeloso dé ver cerrado el camino á su vuelta. Si el intrépido Baffin…</t>
  </si>
  <si>
    <t>Sowaroff-Italisk</t>
  </si>
  <si>
    <t>…de los cadetes, á fin de que los discípulos de aquella casa de enseñanza , en donde principió sus es tudios el héroe Zadounaisky tengan su imagen á la vista. El monumento del feld-mariscal Sowaroff-Italisk se trasladará á !a plaza nueva inmediata al pa lacio del Príncipe Saltikoff, en donde se ha de hacer el puente de Troitzki; y las dos plazas se llamarán en adelante de Románzoff y de Saltikoff. ,, También deseamos manifestar nuestra gratitud por los important…</t>
  </si>
  <si>
    <t>Spadafora</t>
  </si>
  <si>
    <t>…n el dicho día con tren de gala al Real palacio, acompañado del secretario de embajada D. Manuel de Aguilar, de los caballeros,de. embajada el teniente coronel Abarna, el teniente coronel Spadafora , y deD. Cárlos Perez de Hita, caballero maestrante de Gra nada. Al llegar S. E. á palacio la guardia tomó las armas, y tocó Ja llamada; ios alabarderos guarnecían la escalera, al pie de la cual se hallaba el introductor de embajadores y un gentilhombre de cá…</t>
  </si>
  <si>
    <t>Spitzenbergen</t>
  </si>
  <si>
    <t>…nicación entre sus pro vincias antiguas y modernas. WURTEMBERG. Sttutgardt 30 de Noviembre. Apenas volvió el Rey de su viage á Francfort cuando envió á las fronte ras del reino al general Spitzenbergen con otros muchos' oficiales de superior graduación para recibir al Emperador de Rusia; pero como S. M. I. rehusó Formalmente toda ceremonia para su recibimiento, se revocaron las disposi ciones. . ' Ayer á las 10 de la noche llegó S. M., y se apeó en el patio…</t>
  </si>
  <si>
    <t>Splís, Manuel</t>
  </si>
  <si>
    <t>Manuel Splís</t>
  </si>
  <si>
    <t>…mas arduas. :..o ,,Eb capí tan de realistas de Ja Mesa; de Coroneles D, FeHpeSolís sedistingqió perfectamente ep to*jas^í$ pperacipne^ GpmPíy^ Joslsubr. alternos de este tenientes D. Manuel Splís y pp^ FPwbjo rSofeíiáv.de ^gjialt</t>
  </si>
  <si>
    <t>Sr, Carra</t>
  </si>
  <si>
    <t>Carra Sr</t>
  </si>
  <si>
    <t>bre último, al Eterno. Sr. Secretario cíel Despacho de Marina y efe las Co lonias por el teniente general conde Carra Sr. Cir, comandante y administra dor por el Rey de la Guyana francesa. „ Excmo. Sr.: Tengo la satisfacción de participar á V. E. que el 5 de Noviembre desembarqué en Cayena, y que el 8 volvió la Guyana francesa á la dominación de nuestro legítimo Soberano. En el…</t>
  </si>
  <si>
    <t>Srepanof</t>
  </si>
  <si>
    <t>…r, mandado por el capitán Ternepsky; el Norte Adier, de 74, conmódoro Hamilton; el Neptuno, de 74, capitán Mossat; el Tronchsiüastitil, de 74, capitán Torderem ; el Lubeck, de 74, capitán Srepanof; el Mercurio, de 44 , capitán Novilskox; el Patricio, de 44 , capitán Toloubief, y el Astrogele, de 44, capitán Rody. Necesitando algunos de estos buques repa rarse y abastecerse de agua y de víveres, se supone que la escuadra no saldrá para Cádiz hasta pasad…</t>
  </si>
  <si>
    <t>St, Felipe de</t>
  </si>
  <si>
    <t>Felipe de St</t>
  </si>
  <si>
    <t>…or varios dibujos que han presentado, y representaban edificios, vistas de países y planos de puertos, un aprecio muy particular á los señores de la jun ta, lo mismo que al Excmo. Sr. D. Felipe de St. Marcq, capitán general de este reino, que asistió al primero de dichos actos, en los cuales manifestó S. E. una particular satisfacción, exhortando á los alumnos á la continuación de sus estudios con aplicación, y dando gracias á los maestros por su buen zel…</t>
  </si>
  <si>
    <t>Stá</t>
  </si>
  <si>
    <t>…as varias condecoraciones llevaba lá batida r placa de la ófdeii de CárloS ni , el Príncipe de Hesse-Homburgo, el marques y la marquesa de Osmond, el conde y la condesa de Lieven, lord Stá. Elena, marques y marquesa de Sta fiord, conde y condesa de Munster, Príncipe Estérhaai j viaíeonde y vizcondesa €astteretign-, barón Fageli, baroor Humookít, y sír Benjamín Bloomfield, todos VéStídoádá gala. El Príncipe Regente renta á su derecha á kduquesa…</t>
  </si>
  <si>
    <t>Sta, Manuel</t>
  </si>
  <si>
    <t>Manuel Sta</t>
  </si>
  <si>
    <t>…de 1818. = Mariano Hernández. Sr. brigadier y. comandante general D. Ciríaco de Llano.” „Son las nueve de la noche, hora en que el administrador de la hacienda del alto del Encero D. Manuel Sta. María me ha presentado al cabecilla de re beldes Juan Rebolledo, el que á pesar de la resistencia que hizo, fue aprehendi do por los vecinos de dicha hacienda Manuel Rueda y Basilio Rodríguez, que dando dicho cabecilla gravemente herido en la cabeza. „ Igual…</t>
  </si>
  <si>
    <t>Sta, Pontés de</t>
  </si>
  <si>
    <t>Pontés de Sta</t>
  </si>
  <si>
    <t>…condena, se refugió el año de 1806 en España, donde se presentó como emigrado fran cés: sirvió en un regimiento español, después de lo cual volvió á Francia con el falso título de conde Pontés de Sta. Elena, y con la condecoración de una orden de España. Fue luego empleado en etegercito francés; y habiendo sido herido en la batalla de Waterloo, luego que la vió perdida se presentó én el cuartel general de los aliados como un enemigo deBonaparte. Á fuerza…</t>
  </si>
  <si>
    <t>Stackelberg</t>
  </si>
  <si>
    <t>…eclesiástico y las provincias conñnanres del reino de Nápoles. . El ministro de Rusia en la corte de Nápoles ha sido nombrado consejero Intimo de S. M. el Emperador de Rusia, y el conde Stackelberg , ministra de Rusia en la corte de'Vieaa, vendrá á sucederle en esta legación. ,</t>
  </si>
  <si>
    <t>Standman</t>
  </si>
  <si>
    <t>…los frailes ligurianos para fundar un instituto de educación en el mismo lugar que sirvió en estos últimos años de asilo á los religiosos de la Trapa. Acaban de llegar á Hofwyl él conde Standman y los seis maestros jóve nes que le acompañan de orden de S. M. I. el Emperador de Rusia, y que han viajado ya por toda la Francia é Inglaterra. Él objeto de susfviages es instruirse eñ todos los establecimientos de educación pública, con cuya’mira están en e…</t>
  </si>
  <si>
    <t>Stewart</t>
  </si>
  <si>
    <t>…tres últimos dias ha habido tres consejos de gabinete: en el que se tuvo ayer se hallaron presentes todos los ministros, á excepción de lord Mulgrave. Ayer el duque de Welüngton y lord Stewart estuvieron ocupados en la secretaría de Estado y de Negocios extrangeros. A las cinco tuvo el duque una larga conferencia con lord Castlereagh , y comió después en casa de este ministro con varios extrangeros de distinción. Los asuntos de los insurgentes amer…</t>
  </si>
  <si>
    <t>…último correo de Petersburgo se asegura que los Sobe ranos han acordado reunirse en Aquisgran el 27 o 28 de Setiembre. ídem 15. Esperamos en breve aqui al embajador de Inglaterra lord Stewart, her mano del lord Castlereagh.Carlsbad 17 de Agosto. El príncipe de Metternich se halla hace ya ocho dias con toda su comiti va en Koenigswadt, capital de los estados de esta ilustre familia, y lugar destinado para sepultura del príncipe padre, cuyo funeral…</t>
  </si>
  <si>
    <t>…lemberg, en donde se le está preparando una casa para respirar álli el aire pur.o , que, es .el único, remedio con que se cree pueda restablecerse. v Ya sabemos aqui de seguro que lord Stewart volverá á desempeñar la embajada de Londres cerca de la' corte de Viena, y que Mr. Gordon , que ha sido hasta ahora encargado de Negocios de Inglaterra, quedará agregado á la legación eri calidad de consejero de embajada. Durante la ausencia de S. M. el Emper…</t>
  </si>
  <si>
    <t>…a, habiendo concluido ya la matrícula, está en él ditf trabajando sobre la construcción y arreglo de las fortalezas de la Confede ración. Baireuth 2Í2 de Agosto. Anoche llegó aqui lord Stewart, embajador de Inglaterra cerca de la cor te de Viena, y en seguida salió para Franzensbad, en donde se hallan el prín cipe Metternich y el conde Capo-de-Istria. GRAN BRETAÑA. Londres 28 de Agosto. Las cartas de Manchester recibidas esta mañana dicen que los J…</t>
  </si>
  <si>
    <t>…con un experimento aereostático, ha salido mal con su empresa delante de un gran número de personages. El Rey de Prusia, el Príncipe de Iíardemberg, lord Castlereagh , su hermano lord Stewart, Mr. Alejandro de Humboldt, y otros sugetos de la mayor distinción habían asistido á ver el experimento ; pero la Sra. Garnerin, después de dos horas de esfuerzos inútiles, hizo cortar las cuerdas con que estaba asido al globo el barco ó canastilla. Por consi…</t>
  </si>
  <si>
    <t>…¡al Emperador Alejandro. Se dice que habrá un gran baile de gala, una caza de faisanes, y un drama alegórico en el teatro de la corte. ^ ’ ' ; Aguardamos aquí ,de un dia á otro á lord Stewart, embajador de Inglá-¿ térra. Si no viene tan pronto, ¡puede considerarse la tardanza como úna prue ba de que el pleito sobre su casamiento, que se había de juzgar en 'la ¿ámaraf de los Pares, ha tomado un aspecto favorable, esto es, que su contrario, quien de…</t>
  </si>
  <si>
    <t>Sto</t>
  </si>
  <si>
    <t>…dándonos en este rasgo de hu¡rtianidad la prueba mas relevante de su infatigable zelo por la prosperidad de ias ciencias, y de su decidida adhesión á la sana doctrina del angélico doctor Sto. Tomas de Aquino. El numeroso y lucido concurso de eclesiásticos secu lares del mayor carácter, de prelados mayores y menores de todas las reli giones, y personages de la mas alta gerarquía, mezclados con los cursantes dé teología y filosofía, formaba e{ cuad…</t>
  </si>
  <si>
    <t>Strangford</t>
  </si>
  <si>
    <t>…capital para la corte de Suecia Mr. Saint-* Georges con la respuesta del Príncipe Regente á las cartas de notificación de la muerte de Carlos xiii, y con nuevas credenciales para lord Strangford, como ministro de Inglaterra cerca del Rey Carlos Juan. Mr. Engstrom, encargado de Negocios de Suecia, ha hecho prestar jura mento de fidelidad al nuevo Rey á todos los suecos y noruegos residentes en Londres. El conde Grosvenor ha indicado que haría una prop…</t>
  </si>
  <si>
    <t>Straucfi, Francisco</t>
  </si>
  <si>
    <t>Francisco Straucfi</t>
  </si>
  <si>
    <t>…os ,30 cabos y soldados r Gol ib de la Ampolla , 1 oficial, 2 sargentos, 30 cabos y soldados: D. Jü anude! Pino , capitán de voluntarios de Tarragona, inspector de estas partidas: D. Francisco Straucfi, comandante de hatallon agregado; al regimiento de infantería de Aragón , gefe de estos distritos. Hospitalet del Infante, 1 oficial, 1 sargento, 18 cabos y soldados: Mira-mar, £ sargento, 12 cabos y soldados: Cambrils j 1 oficial., 2 sargentos, 30 cabos y so…</t>
  </si>
  <si>
    <t>Strogonoff</t>
  </si>
  <si>
    <t>…mercio de Levante y de la navegación del Mediterrá neo acaban de publicar la nota siguiente, que han recibido del encargado de Negocios de S. M. en Constantínopla. ,,E1 Excmo. Sr. barón Strogonoff ha dado orden á la cancellería imperial de Rusia de participar á la de S. M. el Rey de los Paises-Bajos &amp;c. los avi sos siguientes, á fin de que los comerciantes y navegantes de las diversas na ciones puedan arreglarse á ellos: i.° Que los privilegios de los…</t>
  </si>
  <si>
    <t>StrogónoíF</t>
  </si>
  <si>
    <t>…e ¿segura que en ellas se han leído y. tomado en consideración diferentes notas pasadas á la Puerta otomana por al gunos ministros extrangeros. Una de ellas, según se dice, es del barón StrogónoíF, ministro de Rusia, relativa á algunos puntos que están todavía por arreglar entre la Puerta y la corte de Petersburgo: otra es concerniente á las notas que anteriormente habían dirigido al divan los ministros de las cortes católicas, quejándose de la opresió…</t>
  </si>
  <si>
    <t>Stuart</t>
  </si>
  <si>
    <t>…as que están al N.O. de las de Sandwich, ha re-» conocido la soberanía del Emperador Alejandro. FRANCIA. París 2 de Enero. El 27 del pasado recibió S.M. en audiencia particular al caballero Stuart, embajador de Inglaterra, quien le entregó una carta del Príncipe Regente, en respuesta á la que el Rey le escribió de su mano con ocasión de la muer te de-la Princesa Cariota. : El dia 29 del pasado llegó á esta capital el duque de Wellington , y se apeó en…</t>
  </si>
  <si>
    <t>Stubenberg, Tosef de</t>
  </si>
  <si>
    <t>Tosef de Stubenberg</t>
  </si>
  <si>
    <t>…son monseñor Testa-Ferrata y monseñor Cavalchini, gobernador de Roma. En el mismo consistorio se publicaron también los nombramientos de va rios arzobispos, siendo uno de ellos el conde Tosef de Stubenberg, príncipe y obispo de Eichsteff, nombrado para el arzobispado de Bamberg. Publicóse igualmente la provisión de 13 obispados,entre los cuales para el de Ratimbo na fue electo monseñor Wolíf, obispo de Doria in yartibus infidelium, y para el de Augsburgo el prí…</t>
  </si>
  <si>
    <t>Sturmer, Carlos de</t>
  </si>
  <si>
    <t>Carlos de Sturmer</t>
  </si>
  <si>
    <t>…e. A fin de dar una salida por el mar Adriático á los productos del Austria para la América septentrional, ha nombrado el Gobierno para cónsul gene ral de Austria en Filadelfia al barón Carlos de Sturmer, comisario imperial en la isla de Sta. Elena, con la asignación de 24® francos de sueldo al año, y se le dan ademas 10$ ducados para poner casa. TIRO!. Inspruck jj de Diciembre. Escriben de Italia que está ya arreglado el asunto de los repartimientos de las d…</t>
  </si>
  <si>
    <t>Suarez</t>
  </si>
  <si>
    <t>…o de la Piedad, pertenéciente á la provincia deVail&amp;dolid; y no puedo menos, en honor de la justicia, de apoyar la recomendación que hace dicho comandante del teniente Avalos, del capitán Suarez y del realista D. Juan Quilez para las gracias que V. E. tenga por conveniente concederles. Dios guarde á Y. E.. muchos' años. Guadalajara 9 de Abril de 1818. rs Excmo. Sr.bzJosef de la Cruz.=Excmo. Sr. v.irey D. Juan Ruiz def Apodaca.’! Y Parte del captan D,…</t>
  </si>
  <si>
    <t>Suarez, Antonia Ramona</t>
  </si>
  <si>
    <t>Antonia Ramona Suarez</t>
  </si>
  <si>
    <t>…ones á una de las huérfanas de los militares ó patriotas que hubiesen muerto en defensa de la justa causa de la nación, ha cabido en suerte del primer extracto de la de este dia á Doña Antonia Ramona Suarez, hija del patriota D. Pablo, muerto en el campo del honor. ARTICULO DE OFICIO. S. M. se ha servido confirmar á D. Joaquín Tenreiro y Montenegro, due ño jurisdiccional de varios cotos y pueblos del reino de Galicia, su gentil hombre , y coronel de milicias agr…</t>
  </si>
  <si>
    <t>Suarez, Domingo</t>
  </si>
  <si>
    <t>Domingo Suarez</t>
  </si>
  <si>
    <t>…adre; y S. S., por auto de 21 del pasado, ha tenido 4 bi¿n mandar se convoque por edictos á cualesquiera personas ó comuni dades que se crean con derecho! los bienes del enunciado D. Domingo Suarez, pa ira que dentro de 30 días, contados desde el expresado 21, comparezcan i deducir el que tengan en dicho juzgado y escribanía; con apercibimiento de que pasado el .término señalado, les parará el perjuicio que haya lugar, y se accederá á la petición .de lo…</t>
  </si>
  <si>
    <t>Suarez, Domingo Antonio</t>
  </si>
  <si>
    <t>Domingo Antonio Suarez</t>
  </si>
  <si>
    <t>…es enterará mas individualmente de las tasaciones, dentro del término de 30 dias, que se admitirán las que hicieren siendo arregladas. Habiendo fallecido abintestato en esta corte D. Domingo Antonio Suarez el dia 21 de Setiembre de i8c6, han acudido sus cuatro hijos D. Joaquín, D. Miguel, Doña María Dolores y D. Juan Suarez al juzgado del Sr. D. Joaquín Almszan y Ximeno, del Consejo de S. M., teniente primero de corregidor de esta muy heroica villa, por la escr…</t>
  </si>
  <si>
    <t>Suarez, Gabriel</t>
  </si>
  <si>
    <t>Gabriel Suarez</t>
  </si>
  <si>
    <t>…blo aespues de haberles quitado cinco fusiles, un par de pistolas y cinco caballos ensillados. Por nuestra parte tuvimos la desgracia de que al capitán de realistas de infan tería D. Gabriel Suarez, que voluntariamente se unió á la partida de Avalas, en la persecución de los insurgentes, le rohapiesen de ún balazo el brazo de recho, i y matasen al benemérito y antiguo realista D.* Juan Quilez. ;; , ,, En la tarde incendiaron .toaos los pastos inmediatos…</t>
  </si>
  <si>
    <t>Suarez, Ignacio</t>
  </si>
  <si>
    <t>Ignacio Suarez</t>
  </si>
  <si>
    <t>…Joa quín Antonio Román, los Sres. Alzueta y Beratarrechea, D. Rafael Rodríguez, D. Juan de Dios Elias, los Sres. Bohe, hermanos y compañía, D. Mariano de Urbieta, D. Josef Uhicon, D. Ignacio Suarez, D. Francisco Antonio Abadía, Doa Mariano Gil y D. Josef Vilar, últimos tenedores de 32 vales Reales; 15 de ellos de 150 pesos, creación de Enero de 1808, con los números 23*689, 245110, 252506, 253818, 255204, 264499, 269131, 273684 , 283688 , 287576* 288287…</t>
  </si>
  <si>
    <t>…Joaquín Antonio Ro mán, los Sres. Alzueta y Beratarrechea, D. Rafael Rodríguez, D. Juan de Dios Elias, los Sres. Bohe, hermanos y compañía, D. Mariano de Urbíeta, D. Josef Uhicon, D. Ignacio Suarez, D. Francisco Antonio Abadía, D. Mariano Gil y D. Josef Vilar, últimos tenedores de 32 vales Reales, 15 de ellos de 150 pesos, creación de Enero de 1808, con los números 231689, 245110,252506, 253818, 255204, 264499, 269131, 273684, 283688, 287576, 288287, 29…</t>
  </si>
  <si>
    <t>Suarez, Miguel</t>
  </si>
  <si>
    <t>Miguel Suarez</t>
  </si>
  <si>
    <t>…y con el título de sus asistentes, correrán ría misma suerte en 'cuanto concluya ciertas averiguaciones que pue den interesar!.. ; &gt; . • : : -.5' . ; .. ;/v de teniente corof- „El capitán D. Miguel Suarez de la Serna, graduado.—3 nel , fue el que con su compañía , por determinación mía, logró la aprehen sión de estos facciosos, contribuyendo al efectp el.alférez X). Camilo Sanche* y el sargento Miguel Alfáro*' I . rhq ; e ,, Dios: ¡guarde á!V. E. muchosíaños^i…</t>
  </si>
  <si>
    <t>Suarez, Pedro</t>
  </si>
  <si>
    <t>Pedro Suarez</t>
  </si>
  <si>
    <t>…uelo, D. Ma riano Gil Portillo, D. Mariano Josef González Crespo, D. Manuel Izcaray, D. Gonzalo López de la Torré, D. Josef María Rasco, D. Genaro González* D. Juan María Quevedo, D. Pedro Suarez, D. Antonio Tenllado Henriquez y el doctor en cirugía D. Josef Ramos. Examinadas las memorias de los pre tendientes á los dos premios expresados, y teniendo en consideración la na turaleza de los objetos que á cada cual se le confió, lo que los interesados ll…</t>
  </si>
  <si>
    <t>SUmaniegor</t>
  </si>
  <si>
    <t>…sef María Martinez''parasqué?cón una partida* de cazadores y granaderos pasase la barranca y sorprendiese la CÚeVa, ’ fó qíié^ verificó con ia mayor prontitud, cogiendo en ella al coronel SUmaniegor com</t>
  </si>
  <si>
    <t>Sydmooth</t>
  </si>
  <si>
    <t>Londres s9 de Enero, La escuadra rusa está aun detenida en Spithead á causa de los vientos contrario*. A propuesta de lord Sydmooth adoptó anoche unánimemente la Cámara de los Pares ei bilí ó proyecto de ley, abrogando la suspensión del Uabeas Corpus, en atención al estado quieto y pacífico del reino, no obstante que el acta de suspensión no espiraba hasta i.° de Marzo- En seguida se pasó…</t>
  </si>
  <si>
    <t>Szeeheüí, Esteban</t>
  </si>
  <si>
    <t>Esteban Szeeheüí</t>
  </si>
  <si>
    <t>…os napolitanos del Adriático. En seguida irá á Ténedos y 1] campo que ocupó* en lo antiguo Troya,y pasará £ Cónstantinopla desde í cótari ’ por; mar. Le aCompañan en este viage el conde Esteban Szeeheüí , caplan de caballería, y el pintor Mr.Ender, de cuyo *el© y buen gusto esperamos una apreciable colección de vistas pintorescas.. ” Se dice que Mr. de Haack* que debía venir aqui en calidad 4e ministro de la corté de Badén , se halla tan quebrantado de salud…</t>
  </si>
  <si>
    <t>T, Pascual de</t>
  </si>
  <si>
    <t>Pascual de T</t>
  </si>
  <si>
    <t>…Y DISPERSION DE LAS GAVILLAS UNIDAS AL TRAIDOR MINA EN LA HACIENDA DE LA CAJA Y VALLE DE SANTIAGO. El Exano. Sr. virey ha recibido los siguientes partes. i.° Del mariscal de campo D. Pascual de T.iñan. „Excmo. Sr.: Tengo el honor de elevar, á las superiores manos de V. E. el parte circunstanciado que me ha pasado el coronel D. Francisco de Orrantía del ataque y derrota que dio con la sección de su mando el día 10 de este mes en la hacienda de la Caja a…</t>
  </si>
  <si>
    <t>T, Torcuata</t>
  </si>
  <si>
    <t>Torcuata T</t>
  </si>
  <si>
    <t>…rio latino manual y las cartas de Cicerón para que se ha bilite en ios estudios que haya de emprender. Al mas instruido en aritmé tica y ortografía castellana, la obra completa de D. Torcuata T río de ía Riva. A los niños que en.estas cuatro clases se acerquen á b.-s primeros premia dos las obras siguientes: A los tres que lleven el acces it en ia j íríe de doctrina cristiana , el nuevo catón ó lecciones sacadas de la sagrada escritura. Al que lo ll…</t>
  </si>
  <si>
    <t>Tabaré</t>
  </si>
  <si>
    <t>…a de 70 hombres al mando del capitán dé realistas D. Josef María Aldana, la cual acaba dé regresar, habiendo dado muerte á i rebeldes, y tra yendo 4 vivos, entre estos al nombrado capitán Tabaré s, que ha sido bien perverso en estbs contornos, y á todos los mandaré fusilar luego que sean dispuestos cristianamente.:Se han recogido 2 fusiles, 5 cabaHos ensillados y 11 en pelo, sin que mi partida tuviese alguna novedad. ? „Dios guarde á V. E. muchos año…</t>
  </si>
  <si>
    <t>Tabeada, Josef Gil</t>
  </si>
  <si>
    <t>Josef Gil Tabeada</t>
  </si>
  <si>
    <t>…esta villa, y los realistas de ella con un cañón;'al rastrillo de Silao con la mitad de la compañía de cazado res de Toluca y otro canon, al teniente de ella, graduado de capitán, Don Josef Gil Tabeada; y al de Lagos cpn media compañía de fusileros de To luca, y otró canon al teniente D. Domingo Travieso. Cubrí también todos los puntos de O. y S. de esta villa, y dejando, un fuerte cuerpo de infantería de reseryá en la plaza al mando del teniente coronel gr…</t>
  </si>
  <si>
    <t>Taboada, Josef Gil</t>
  </si>
  <si>
    <t>Josef Gil Taboada</t>
  </si>
  <si>
    <t>…AÑA. México ly de Noviembre. Continuación de Jos partes remitidos al Excmo. Sr. virey sobre la tenta tiva del traidor Mina contra la villa de León. •4.° Parte del capitán graduado D. Josef Gil Taboada. „ Habiéndome V. S. dado orden la madrugada del zij de qqe marchase</t>
  </si>
  <si>
    <t>Tadeo</t>
  </si>
  <si>
    <t>…n sus memoriales. a¿ secretario de ayuntamiento D. Marcial; Albalate hasta el 1 i de Agosto próximo. Habiéndose solicitado el paradero de Dona Josefa Munieja, hermana del coro nel D. Tadeo, que falleció en Guatemala, para comunicarle noticias que le interesa ban, solo se ha averiguado que murió, dejando otro hermano , que fue empiado en Real Hacienda, según se cree, en Salamanca, antes de la invasión francesa. Si alguna persona supiere de la ex…</t>
  </si>
  <si>
    <t>Taengua, Vicente</t>
  </si>
  <si>
    <t>Vicente Taengua</t>
  </si>
  <si>
    <t>…o destia firmado dicho autor en el pliego cerrado que tenia el mismo epígrafe que la memoria, deliberó la sociedad se le entregue el premio si identifica su nombre: 1500 rs. vn. á D. Vicente Taengua por haber hilado con perfección seda del país por el método de Vaucanson; y últimamente patente de socio de mérito á D. Francisco Xavier Lozano por haber hilado también seda por el expresado método de Vaucanson, superior en delgadez, finura y consistencia, A…</t>
  </si>
  <si>
    <t>Talaquer, Juan Guillermo</t>
  </si>
  <si>
    <t>Juan Guillermo Talaquer</t>
  </si>
  <si>
    <t>…a Ximenez, es cribano del número de la misma, se cita, llama y emplaza á todos los acreedores y demas interesados que tengan derecho á los bienes que quedaron por fallecimiento de D. Juan Guillermo Talaquer, colector jubilado que fue del Real gabinete de His toria natural, para que se presenten por sí ó sugeto que les represente con poder su ficiente á la junta mandada celebrar últimamente, y para la que está ^señalado el dia 27 del corriente en la casa posada d…</t>
  </si>
  <si>
    <t>Talavan</t>
  </si>
  <si>
    <t>…evamente .se? ..Las están formando en Cutzamala , y ios caballos para remontar,.aquélla; tropa. r ,, Recomiendo á V. S. particularmente al acreditado capitán Galeana, y al,bizarro sargento Talavan con sus 15. dragones: el primero por-mandar con: abierto,¡y el segundo por egecutar ^on valór merecen toda ¡lav consideración de YrÓ.'J' y sí :1o tiene á bieñ. duplico lo eleve al superior conocimiento del: femé.j $r¿ vi^ey , é:igualmente; recomiendo, al drag…</t>
  </si>
  <si>
    <t>…uy caro; pues creo no se volver^ á reunir, ni vol verá á proyectar semejantes disparates como es atacar á los valientes soldados que tengo el honor de mandar. Recomiendo á vmd. al sargento Talavan y á todos los soldados que lo acompañaron, dejando á su consideración la brillan te victoria que hemos conseguido, que será causa de la pacificación de este país : todo lo que participo á vmd. para su satisfacción, á pesar de que á su llegada ayer á este pueb…</t>
  </si>
  <si>
    <t>Talavan, Josef Manuel</t>
  </si>
  <si>
    <t>Josef Manuel Talavan</t>
  </si>
  <si>
    <t>…Cutzamala con la gavilla de 100 hombres que al mando del cabecilla Pablo Campos trataron de sorpren derle. • : ,, Recomiendo á V. E. el mérito del capitán D. Manuel Galeana, y del sargento Josef Manuel Talavan , con los demás de que hacen referencia ambos documentos por haberse distinguido. , *, Píos guardeá V. E. muchos años. Chilpáncingo 23 deiFebrero de 1818;== Excmo. Sr.=Josef Gabriel de Armijo. = Excmo. Sr. virey D. Juan Ruiz dé Apodaca.” Parte del teniente co…</t>
  </si>
  <si>
    <t>…sta que amaneciese, saliendo algunas pequeñas partidas á pie á tirotearlos. ,, A las cinco y media de la mañana hice replégar toda mi tropa, y ensi llando los caballos destaqué al sargento Josef Manuel Talavan con 15 dragones decididos, para que saliendo y echándose sobré los rebeldes los derrotase co mo mé propuse. Todo fue mandado y egecutado á un tiempo, pues la intre pidez y acostumbrado valor del sargento de dragones derrotó al rebelde Cam pos, persiguiendo po…</t>
  </si>
  <si>
    <t>…mi izquierda para sorprenderle á la vuelta, y el 3 de madru gada entré en la Ciénega dividiendo mi fuerza en tres partidas, la primera al mando del cabo Godinez, la segunda al del sargento Josef Manuel Talavan, y yo con la tercera ocupé el centro. La primera partida se encontró con el capitán de los rebeldes Ríos, que se hallaba á la orilla de dicha Ciénega con su compañía en unos rastrojos, y fue sorprendido por dicho cabo, dejando una porción de sillas viejas, un…</t>
  </si>
  <si>
    <t>Tamayo, Ramón</t>
  </si>
  <si>
    <t>Ramón Tamayo</t>
  </si>
  <si>
    <t>…bautismo y certificación del párroco y justicia del pueblo de su residencia, que acredite su buena moral y cristiana conducta. El Conde de Corke, llamado c! Grande, traducido por D. Ramón Tamayo. Él autor de esta obra se propuso escribir un tratado sencillo de educación y der los su cesos del mundo para un joven huérfano, y en él manifiesta que sin buenas ctísiumbres en vano espera la sociedad virtudes que honren al género humano. Véndese en la libre…</t>
  </si>
  <si>
    <t>Tamon, Josef</t>
  </si>
  <si>
    <t>Josef Tamon</t>
  </si>
  <si>
    <t>…andez?, tenientes D. Vicente Rolan y Don -Juan de Ariipudia / alférez D.^Dionisio Esquive! / yrdemás individuos que Velazquez recomienda, é igualmente á su ayudante el subteniente D. Josef Tamon. &lt;•’ . ,; Dios guárde á^VvS; muchos años:San Lbis de la Paz Junio-4 de xSiS.= -Jóséf Cristóbal Villaseúor. = Sr. coronel'y comandante D. Francisco de Gub*zárnótegui.,? ; ‘ 1 1 • •/ . - - ; '• :.u:: ' 'Parte del teniente coronel iD. Manuel Velazquez. ' ,, Con…</t>
  </si>
  <si>
    <t>Tar, Modesto de</t>
  </si>
  <si>
    <t>Modesto de Tar</t>
  </si>
  <si>
    <t>…, renovándoles la prohibición de pescar de noche. Atendiendo S M. á la decidida adhesión que han manifestado á la augusta dinastía de los Borbones el marques de S. Josef y su hijo D. Modesto de Tar rea, avecindados eri Quitó1, se hit dignado concederles su Real permiso para usar la cruz de la flor de Lis con que han sido agraciados ambos por S. Al. Cristianísima; * Por decreto de lós Sres. dél Consejo, su fecha 17 del corriente, se ha mandado sácar ¿: p…</t>
  </si>
  <si>
    <t>Tarsis, Lorenzo</t>
  </si>
  <si>
    <t>Lorenzo Tarsis</t>
  </si>
  <si>
    <t>…D. Francisco de Ayerbe, D. Domingo González Valdosera, ' Doña Manuela Martín Alonso, D. Manuel Rodríguez, D. Juan de las Fuentes, D. Julián de Arozarena, D. Manuel de Navacerrada, D. Lorenzo Tarsis y herma nos, D. Manuel de Iruegas, D. Josef Ignacio Gutiérrez, la casa de Iruegas y Gil, y D. Antonio Penaso, sus hijos, herederos ó sucesores, para que en el término de 30 dias, contados desde el 4 de Agosto del corriente año, se presenten por sí o por* medi…</t>
  </si>
  <si>
    <t>Tason</t>
  </si>
  <si>
    <t>…iba á unirse con ellos , y seguir su plan de apoderarse de estos pueblos; y poniendo en salvo la caballada tomada, armas, sillas y demas que dirigí sobre Camatagua, al cuidado del capitán Tason con su campo volante , determiné dirigirme sobre los enemigos con todas las fuerzas reunidas á atacarlos en cualquier punto y fuerza que los hallase; y con la idea de dar de comer á la tropa, que se hallaba fatigada , y sin comer desdeñe! dia anterior, campé…</t>
  </si>
  <si>
    <t>Tason, Francisco</t>
  </si>
  <si>
    <t>Francisco Tason</t>
  </si>
  <si>
    <t>…daron muertos en el campo 10 enemigos por los tiros de una’ guerrilla de infantería y golpes de lanza de un pequeño piquete de caballe ría de Camatagua, á las órdenes del valiente capitán Francisco Tason, cuyo caballo salió herido de una lanzada. „ Acabados de dispersar los enemigos llegué yo con la caballería indicada; y como á larga distancia observásemos que se reunían algunos enemigos, hice saliesen sobre ellos 40 dragones y una guerrilla de húsares al ma…</t>
  </si>
  <si>
    <t>Tavira, Pedro Fernando</t>
  </si>
  <si>
    <t>Pedro Fernando Tavira</t>
  </si>
  <si>
    <t>…ta acción, y fueron los siguientes: . . El capitán de navio de la Real armada D. Tomas Blanco Cabrera: los tenientes de navio D. Luis Pardo y D. Simón Londoño: el alférez de navio D. Pedro Fernando Tavira: los tenientes coroneles D. Juan Josef Campillo y D. Josef Alejandro: los capitanes graduados de tenientes coroneles D. Ra món de Amagada y D. Bartolomé Henriquez: los subtenientes D. Nicolás O ^res y Palafox y D. Ramón González: los subtenientes del Real cue…</t>
  </si>
  <si>
    <t>Te, Marta</t>
  </si>
  <si>
    <t>Marta Te</t>
  </si>
  <si>
    <t>…nuevos saludos de la plaza ■y de todos los buques. El dia siguiente á las 11 de la mañana salió del Real palacio la Reina nuestra Señora, acompañada de las Sermas. Sras. Princesas Doña Marta Te resa y Doña María Francisca Benedicta, é Infantas Doña. Isabel María y demas, y en medio del mas lucido y pomposo séquito se trasladó al Real arsenal de marina, al que concurrió poco después el Rey nuestro Señor, que en medio también del acompañamiento de los…</t>
  </si>
  <si>
    <t>Teijtir'ó, Jacobo</t>
  </si>
  <si>
    <t>Jacobo Teijtir'ó</t>
  </si>
  <si>
    <t>…la regencia dé la chaneillería de Va* Nadolíd, vacante por jubilación de D. Manuel Gutiérrez de Bustillo, á l&gt;on Miguel Antonio Blanes , regente dé Astárías ; para esta regencia a D. Jacobo Teijtir'ó, oidor efe la audiencia dW la Coruña , y para la de este tribunal á Don J-tiatr López dé Virítíes*,’que servia la de Mallorca. Asimismo se ha servido S. M. conceder plaza efectiva de oidor del consejo de Navarra al supernume rario del mismo tribunal D Josef M…</t>
  </si>
  <si>
    <t>Tejada, Francisca Javiera Paz y</t>
  </si>
  <si>
    <t>Francisca Javiera Paz y Tejada</t>
  </si>
  <si>
    <t>…S. M., teniente corregidor de esta muy heroica villa, se cita, llama y emplaza á D. Ignacio y D. Ramón del Oro f Paz, hermanos, cuyo paradero se ignora, como hijos y he rederos de Doña Francisca Javiera Paz y Tejada, vecina que fue de Madrid, y por fallecimiento de ellos á sus herederos sucesores en sus derechos, para que dentro de 15 dias, primeros siguientes ai 12 del corriente mes, acudan por sí ó por medio de procurador, con poder bastante, por la escribanía del nume…</t>
  </si>
  <si>
    <t>Tejedor, Agustín</t>
  </si>
  <si>
    <t>Agustín Tejedor</t>
  </si>
  <si>
    <t>…y que se "publique en la gaceta para satisfacción del interesado. Por Real resolución de 19 del mismo, á consulta del Consejo supremo de la Guerra , se ha servido S. M. conceder á D. Agustín Tejedor , segundo ayu dante de ,cirugía que fue en la última campaña, el fuero militar y uso de uni forme de la clase, en ¡que, .sirvió, como comprendido en la circular de 19 de Junio de 1815; declarando al mismo tiempo le ha sido muy grata á S. M. la cesión que ha h…</t>
  </si>
  <si>
    <t>Tejeiro, Miguel</t>
  </si>
  <si>
    <t>Miguel Tejeiro</t>
  </si>
  <si>
    <t>…entes D. Manuel San* chezTreviño y D. Justo Zaldivar. Del primero Americano: teniente coronel graduado D. Cristóbal Tenorio, capitán D. Josef Polledo, teniente D. Patri cio Ange y D. Miguel Tejeiro , subtenientes D.'Juan Perez y D. Juan Josef Reviila. De la Corona : teniente D. Ignacio Valiente. De Frontera: teniente coronel graduado D. Josef María Novoa , teniente D. Josef María Gutiérrez, " . Felipe Guillen, y agregado D. Mariano Miqueley, alférez gra…</t>
  </si>
  <si>
    <t>Tellez, Mateo Nicolás Sanz</t>
  </si>
  <si>
    <t>Mateo Nicolás Sanz Tellez</t>
  </si>
  <si>
    <t>…hacer mejo ra lo verificará en la referida audiencia y escribanía enunciada, donde se le admitirán. Ante la Real justicia de la ciudad de Molina y su Real señorío, y escribanía de D. Mateo Nicolás Sanz Tellez, se está siguiendo concurso de acreedores á los bie nes que quedaron por muerte del Sr. D. Joaquín Rujz de Molina y Velasco, mar ques de Embid; y sin embargo de haber citado por edictos con el término ordinario á los que presumiesen tener derecho á dichos bie…</t>
  </si>
  <si>
    <t>Tello, Antonio Josef</t>
  </si>
  <si>
    <t>Antonio Josef Tello</t>
  </si>
  <si>
    <t>…Cayetano Pascual y D. Ramón Torres, y. los dos segundos de 35 á D. Fabian Ramos y D. Miguel Rodríguez González; pero enterada al mismo tiempo que con estos obtuvieron igual mérito Don Antonio Josef Tello , D.- Pedro Martin y D. Tomas Demetrio Ascanio, re solvió se distribuyesen entre los tres varios libros é instrumentos de su facul tad * con-el laudable objeto de estimularles á la continuación de sus penosas tareas en beneficio de la pública salud, atendiend…</t>
  </si>
  <si>
    <t>Tello, Juan</t>
  </si>
  <si>
    <t>Juan Tello</t>
  </si>
  <si>
    <t>dobá su coronel D. Juan Tello. Los nuestros persiguieron al enemigo con arr dor hasta hacerle repasar el rio, causándole una pérdida considerable. Se cuen tan mas de loo muertos, sin incluir los muchos que se ahogaron, entre ellos un Romero de Sta. Rosalía, Romerito el dePedraza, el mayor…</t>
  </si>
  <si>
    <t>Telmo, Agustín Pedro González</t>
  </si>
  <si>
    <t>Agustín Pedro González Telmo</t>
  </si>
  <si>
    <t>…Francia. , A las seis y media de la mañana del dia 12 de Diciembre del año pró ximo pasado, murió en esta corte, su patria, á los 44 años, 7 meses y 29 días de su edad el Eterno. Sr. D. Agustín Pedro González Telmo, Fadrique, Fernandez de Híjar ¿kc.; duque de Híjar, de Lesera; marques de O ra ni; conde de A ra nda &amp;e. &amp;c.; grande de España de primera clase; gen tilhombre d'e camara de S. M. con. egercicio; caballero de la insigne orden del Toison de oro; gran cruz de la…</t>
  </si>
  <si>
    <t>Tenorio, Cristóbal</t>
  </si>
  <si>
    <t>Cristóbal Tenorio</t>
  </si>
  <si>
    <t>…Velazquez , tenientes Don Josef Colomer y D. Pedro Salvador de Pazos, subtenientes D. Manuel San* chezTreviño y D. Justo Zaldivar. Del primero Americano: teniente coronel graduado D. Cristóbal Tenorio, capitán D. Josef Polledo, teniente D. Patri cio Ange y D. Miguel Tejeiro , subtenientes D.'Juan Perez y D. Juan Josef Reviila. De la Corona : teniente D. Ignacio Valiente. De Frontera: teniente coronel graduado D. Josef María Novoa , teniente D. Josef María…</t>
  </si>
  <si>
    <t>Teran, Josef Ignacio Gómez de</t>
  </si>
  <si>
    <t>Josef Ignacio Gómez de Teran</t>
  </si>
  <si>
    <t>…su juzgado privilegiado, se cita, lla ma y emplaza á todas y cualesquiera personas que se conceptúen con derecho á los bienes quedados con motivo del fallecimiento abintestato dei Sr. D. Josef Ignacio Gómez de Teran , marques que fue de Portago , brigadier de los Reales egércitos de S. M., y capitán del regimiento de Reales guardias Españolas, acaecido en esta corte la noche del 29 de Diciembre del año próximo pasado, á fin de que dentro del preciso término de 30 dias qu…</t>
  </si>
  <si>
    <t>Téran, Josef Ignacio Gómez de</t>
  </si>
  <si>
    <t>Josef Ignacio Gómez de Téran</t>
  </si>
  <si>
    <t>…su juzgado,privilegiado, se cita, llama y.emplaza á todas y cualesquiera personas que se conceptúen con derecho á los bienes quedados con motivo del fallecimiento abintestat'o del Sr. D. Josef Ignacio Gómez de Téran, marques qiie fue de Portago, brigadier de los Reales egércitos de S. M., y capitán del regimiento'de Reales Guardias Españolas, acaecido en esta corte la noche del 29 de Diciembre del año próximo pasado; á fin de que dentro del1 preci so término de 2Ófdiás,…</t>
  </si>
  <si>
    <t>Teran, Mariano</t>
  </si>
  <si>
    <t>Mariano Teran</t>
  </si>
  <si>
    <t>…D. Josef María Novoa , teniente D. Josef María Gutiérrez, " . Felipe Guillen, y agregado D. Mariano Miqueley, alférez graduado d^ - .rnañ'D. Josef María Peña , poirta graduado dé teniente D. Mariano Teran, porta D, Benito Fernandez y cade:e!D. Josef Zamora. De Nueva-Vizcaya: capitán D. Josef María Móreno y\alféreces' D. Justo Escudero y D. Lazaré Ariñendariz. Dragones de Sieffagorda: teniente coronel graduado D. Cristó bal Viilaseñbrcapitanea graduados D. jose…</t>
  </si>
  <si>
    <t>Teresa</t>
  </si>
  <si>
    <t>…er el auto de traslado de dicha par tición, con el correspondiente emplazamiento, á los hijos y herederos de D. Josef Joaquín de la Puente y Doña Ana María de Herrera, que lo eran Doña Teresa de la Puente Herrera, casada con el Lie. D. Pablo Moreno del Olmo, vecinos de la ciudad de Bíírgos; á Doña María Antonia de la Puente Herrera, casada con Don Bernardo de Lienares, vecinos del lugar de Bezana,obispado de Santander; á Doña Bárbara Abarca, vecin…</t>
  </si>
  <si>
    <t>Teresa, María</t>
  </si>
  <si>
    <t>María Teresa</t>
  </si>
  <si>
    <t>…el Te Deurn, que se cantó también con la mayor solemnidad. Asistieron á este acto religioso en la Real tribuna la Reina nuestra Señora y las Sermas. Sras. Princesa Real, Prin cesa Doña María Teresa, las Sras. Infantas y la Princesa Doña María Eran-, cisca Benedicta; el cuerpo diplomático, convidado de antemano, los grandes del reino, seculares y eclesiásticos , los generales y oficiales de superior gra duación , ios ministros, y en suma un numeroso conc…</t>
  </si>
  <si>
    <t>Terices, Josef Bravo y</t>
  </si>
  <si>
    <t>Josef Bravo y Terices</t>
  </si>
  <si>
    <t>…gentan los R.R. PP. Fr. Jo sef Serrano, del orden descalzo de S. Francisco , y Fr. Josef Gómez, del de San Agustín, puestas en método , conforme á las órdenes de S M., por el Lie. Don Josef Bravo y Terices, corregidor de esta ciudad/ En los días 21 de Junio y 3 de Agosto últimos se verificaron dichos exá menes, habiendo presentado el R. Mtro. Serrano la mayor parte de 104. ni ños qué tiene á su cargo, los cuales dieron grandes muestras de sus adelanta-, mie.nto…</t>
  </si>
  <si>
    <t>Ternepsky</t>
  </si>
  <si>
    <t>…mo de Suez. Idem g. La escuadra rusa que se halla en Spithead se compone de los buques si guientes: el Dresden, de 74 cañones, que monta el contra-almirante Mo11er, mandado por el capitán Ternepsky; el Norte Adier, de 74, conmódoro Hamilton; el Neptuno, de 74, capitán Mossat; el Tronchsiüastitil, de 74, capitán Torderem ; el Lubeck, de 74, capitán Srepanof; el Mercurio, de 44 , capitán Novilskox; el Patricio, de 44 , capitán Toloubief, y el Astrogele, d…</t>
  </si>
  <si>
    <t>Terrazas, Josef María</t>
  </si>
  <si>
    <t>Josef María Terrazas</t>
  </si>
  <si>
    <t>38</t>
  </si>
  <si>
    <t>…ión en S. Juan fue la puramente precisa para dar descanso á la tropa y poner los ranchos, con el ánimo de continuar la marcha en la noche, en la cual me dieron parte los capitanes D. Josef María Terrazas, comandante de Rioverde,. y D. Cristóbal Vilíaseñor, del escuadrón de Sierragorda, que habiendo llegado al Grangenal en persecución del enemigo , su pieron que este habia salido de aquel punto á la hora precitada, y que ellos con 800 hombres del partido de Ri…</t>
  </si>
  <si>
    <t>Teruel, Juan Diego</t>
  </si>
  <si>
    <t>Juan Diego Teruel</t>
  </si>
  <si>
    <t>…Don Miguel Ramírez, medio racionero, y esta media ración á D. Manuel de Arteaga y Bazan: para otra ración de la catedral de Trujillo, que ha resultado vacante por fallecimiento de D. Juan Diego Teruel, á D. Vicente Remon y S. Martin; y últimamente para una.media ración de la catedral de la Puebla de los Angeles, Vacante por muerte de D. Juan Angel García Paredes, á Doii Tiburcio María Cárcamo. Estando acordado por la dirección general del Crédito público,…</t>
  </si>
  <si>
    <t>Tettembom</t>
  </si>
  <si>
    <t>…antes, que e1 general Ochs irá á Petersburgo en calidad de ministró plenipotenciario de S. A. R. el Elector de Hesse-Cassel. . S. A&gt; R. el gran Duque de Badén há nombrado al mayor general Tettembom teniente general de caballería, y enviado extraordinario y ministro plenipoten ciario cerca de la corte de Roma. v ¿ FRANCIA. Parts 79 de Setiembre. El Gobierno ingles ha recibido últimamente noticias oficiales de los bu ques enviados al descubrimiento de un…</t>
  </si>
  <si>
    <t>Tettenbom</t>
  </si>
  <si>
    <t>…stro de Negocios extrangeros, después de lar gas conferencias que ha tenido fuera de aqui con varias personas muy distin guidas, va á salir para Aquisgran. Se dice que el teniente general Tettenbom, que está ya aqui de vuelta de Francfort, debe acompañar al gran duque á Montpeller; pero que pronto re gresará á esta capital. La orden que se dio de que todos los militares que estaban con licencia volviesen a sus cuerpos, y que estos estuviesen prontos par…</t>
  </si>
  <si>
    <t>Tgftatío</t>
  </si>
  <si>
    <t>…^derecho á •mas citarConcurso y 'sus t&gt;íét-!éVtiívfesert áÍ v*encimtertt6 dé otros cuatro meses; f Ies parirá ademas el petjiucíó que hayá lugar. '• *■ ■ • ’tíahíéiícbsé exonerado’D. Tgftatío 'Imfcos Arroyo &lt;féf'cñcstgf &lt;fe;-vocal..-de la junta gubernativa y de administración de la ociírrenCta de abréedcrires é'itttéresacfos en los bienes que dejo él señor conde marqués de Peraíes,&lt;Jifimtc&gt; . para que todos' re unidos acuerden en sn razmt y dcfiia…</t>
  </si>
  <si>
    <t>Theron, Juan Bautista</t>
  </si>
  <si>
    <t>Juan Bautista Theron</t>
  </si>
  <si>
    <t>…Gaona y Loeches, se ha señalado el domingo 15 de No viembre próximo, y hora de las nueve de su mañana, en su posada plazuela de San Martin, para la junta general de acreedores de D. Juan Bautista Theron.«.También por auto del Sr. t&gt;. Manuel Josef Rubio, deí Consejo de S. M-, y teniente corregid dor de esta muy heroica villa, autorizado por el propio escribano^1 se ha señalado ef domingo 22 de Noviembre próximo., y hora de las pueve de su mañana, en,casa de S…</t>
  </si>
  <si>
    <t>Tifian, Pascual de</t>
  </si>
  <si>
    <t>Pascual de Tifian</t>
  </si>
  <si>
    <t>…nción aná loga y lucida en el coliseo con versos y marchas felicitando al Rey nuestro muy amado Soberano por la gloria de sus reales armas.” Parte- del expresado mariscal de campo D. Pascual de Tifian, relativo á la acción del 29 de Diciembre último. .v. ~ &gt;Exorno. Sr. 1 Participé á V. E. en oficio de ayer que varios pasados y aprehendidos me ratificaron la noticia que sabia por los confidentes de que estaba en el fuerte Cruz Arroj?o con algunos de sus sol…</t>
  </si>
  <si>
    <t>Tilmore</t>
  </si>
  <si>
    <t>…en la clase de mayor general, se ha visto precisado á licenciar el mayor número de sus soldados , y á desembarcar en Deal una parte de sus oficiales. Un individuo reclutado por el coronel Tilmore para servir en su cuerpo de artillería, se ha quejado de él al corregidor de Londres. El coronel Campbell, dd cuerpo de infantería, y todos sus oficiales han sido detenidos en la aduana de la isla de Wight. Se cree ccn fundamento que hayan naufragado el coron…</t>
  </si>
  <si>
    <t>Tizón, Josef González</t>
  </si>
  <si>
    <t>Josef González Tizón</t>
  </si>
  <si>
    <t>…cia de Valencia, vacantes por jubilación de D. Manuel de Villafañe, D. Ramón Gíraldo, D. Lorenzo Villanuevay D. Josef Alonso, á D. Miguel Modet, oidor de la audiencia de México; á D. Josef González Tizón , oidoír de la de Cataluña, ambos con su antigüedad; á D. Francisco Xavier Borrulf, y D. Josef de Cartagena, oidores en comisión que han sido de la misma au*diencia de Valencia; y para la plaza de fiscal de lo criminal, vacante en el propio tribunal , también…</t>
  </si>
  <si>
    <t>To</t>
  </si>
  <si>
    <t>…cuatro y media, de lar mañana de hoy á dich os ranchos, siendo el fruto haber pillado al capitán nombrado por él cabecilla Rubí Antonio Solares, natural de Sta. Ana M*ya, hijo de D. To mas Solares , ultramarino^difuoto, y á, otros 4 que le. acompañaban, de los que tengo tres en capilla , dejando al Otro' preso hasta Hacer algunas averi guaciones por no estar comprobado.su delito. Se les han tomado 4 caballos ensillados , 4 en pelo, 3 machet…</t>
  </si>
  <si>
    <t>Toderin, Antonio</t>
  </si>
  <si>
    <t>Antonio Toderin</t>
  </si>
  <si>
    <t>…es de Numancia: la primera ayudantía de la plaza de Alcántara al teniente D. Manuel Martínez, subteniente del regimiento de in fantería de la Princesa: la tercera de la de Ceuta á D. Antonio Toderin!, subteniente del regimiento de infantería de Irlanda; y la del castillo de Mon zón , .en Aragón, á D. Juan Piqueras, subteniente del de infantería de Sevilla. Asimismo ha provisto S. M. las canongías vacantes; en la santa iglesia ca tedral de Granada, por fa…</t>
  </si>
  <si>
    <t>Toledo, Félix Salcedo Alvares de</t>
  </si>
  <si>
    <t>Félix Salcedo Alvares de Toledo</t>
  </si>
  <si>
    <t>…orcionaba á los niños de su cargo la instrucción cristiana y política de que son susceptibles, de acuerdo co i el alcalde mayor el Lie, D. Tiburcio Asiain y el cura párroco el Dr. D. Félix Salcedo Alvares de Toledo, reunidos en las casas consistoriales, con asistencia de los sugetos de la mayor distinción de ambos estados, se celebraron el 13 del pasado exá menes tvjbücos presididos por el expresado alcalde, en los cuales se dio prin cipio por un discurso que pronunció…</t>
  </si>
  <si>
    <t>Toledo, Fernando Josef de</t>
  </si>
  <si>
    <t>Fernando Josef de Toledo</t>
  </si>
  <si>
    <t>…tiguo de la propia audiencia ; para esta re sulta á D. Vicente Esteve: y para otra plaza del crimen de esta audiencia, que resulta vacante por muerte de D. Josef Olivas y Denia, á D. Fernando Josef de Toledo y el Corral; y para la plaza de alcalde del crimen de la chancillería de Valladolid , que resulta vacante por muerte de D. Josef Gon zález Villar , á D. Pascual Alpuente. Asimismo se ha servido S. M. conceder honores de oidor de la misma chancillería á D. Ang…</t>
  </si>
  <si>
    <t>Toledo, Josef Guillen de</t>
  </si>
  <si>
    <t>Josef Guillen de Toledo</t>
  </si>
  <si>
    <t>…s para esplendor de Ja monarquía y felicidad de sus vasallos/* El Rey se ha dignado nombrar para la plaza de oidor de la chancillería de Granada, que resulta vacante por muerte de D. Josef Guillen de Toledo, á D. Manuel de Vilches, alcalde del crimen mas antiguo del mismo tribu nal ; y para esta resulta á D. Ignacio deGusseme^ para ia de oidor de la au diencia de Extremadura., que resulta vacante por promoción de D. Francisco Martínez de Galinsoga á plaza de alc…</t>
  </si>
  <si>
    <t>Toledo, Juan</t>
  </si>
  <si>
    <t>Juan Toledo</t>
  </si>
  <si>
    <t>…icial, 2 sar gentos, 30 cabos y soldados : Sitges, 1 oficial, 1 sargento, 20 cabos y solda dos: D. Rafael Briz, capitán de voluntarios de Tarragona, inspector de estas partidas:el coronel D. Juan Toledo, capitán del regimiento de infantería de Aragón , gefe de estos distritos: el brigadier D. Juan Rafael Lassala, comandan te de voluntarios de Tarragona, comandante de estos cantones. Casteil de Fels, $ oficial, 1 sargento, 20 cabos y soldados: Masía den Panch…</t>
  </si>
  <si>
    <t>Tolly, Barclay de</t>
  </si>
  <si>
    <t>Barclay de Tolly</t>
  </si>
  <si>
    <t>…de de Golowiri, y compuesta del príncipe Ale jandro Galiitzin y del general Betancour¿ y señalando para los gastos de es te año 50© rublos. • Idem 28. El 19 del corriente el feld- mariscal Barclay de Tolly salió de su cuartel general de Mohilew para ir á tomar baños , y ver si logra alivio en los acha ques que padece de resultas de las muchas heridas que há recibido en una lar ga serie de campañas, y de las fatigas y trabajos que con este motivo ha te ñido que…</t>
  </si>
  <si>
    <t>…üso, de cuaIquiéra naturaleza que sea, y reciar me su libertad,'desde luego quedará libre enteramenteRUSIA. . jMittau j? de Junio. Hoy han traído aquí el cadáver del feld-mariscal príncipe Barclay de Tolly, habiendo salido fuera de la ciudad 4,recibirle el general de la caballe ría conde de Wittgenstein, comandante en gefe del segundó egército, acom pañado de todos los generales, y de todas las autoridades civiles y eclesiásti cas. El cadáver, precedido de una…</t>
  </si>
  <si>
    <t>…, el mismo que cuando las tropas aliadas ocupaban á París era gobernador de aquella capital, acaba de ser nombrado general en gefe del primer egército por vacante del difunto feld-mariscal Barclay de Tolly. Mañana dormirá en Zarskojeselo S. M. el Rey de Prusia, y el dia 3 del mes que viene llegará á esta capital , en donde hará su entrada pública''con toda pompa y solemnidad. Dentro de ocho dias se hallarán ya retiñido* aquí todos los individuos de la familia i…</t>
  </si>
  <si>
    <t>Toloubief</t>
  </si>
  <si>
    <t>…el Neptuno, de 74, capitán Mossat; el Tronchsiüastitil, de 74, capitán Torderem ; el Lubeck, de 74, capitán Srepanof; el Mercurio, de 44 , capitán Novilskox; el Patricio, de 44 , capitán Toloubief, y el Astrogele, de 44, capitán Rody. Necesitando algunos de estos buques repa rarse y abastecerse de agua y de víveres, se supone que la escuadra no saldrá para Cádiz hasta pasados 12 dias. Han empezado ya á equiparse los buques que deben ir á hacer des cubr…</t>
  </si>
  <si>
    <t>Tom</t>
  </si>
  <si>
    <t>…io que haya lugar. . Por la indien.;;Ía del Sr. D. l\ngcl Fernandez de JOt; Ri'os, del Consejo de S. NI., teniente corregidor de ésta muy heroica villa. y escrib,mía del número de D. Tom:lS de Sallcha y Pra'lo, se sub.:istan por término de 3 o dia~, contados de!&gt;de 2. 1 del pasado, que fin¡¡!izan el 19 del corriente, "lue es ei señalado para su remJt\!, á la una de él en la audiencia de S. S. 13s fincas siguientes ~ primeramente una casa es&lt;j…</t>
  </si>
  <si>
    <t>Tomas</t>
  </si>
  <si>
    <t>…uerétaro » al tenien te del de México D. Nicolás. Lazcano, up oficial del regimiento de Fernan do vn , que estaba allí de tránsito, y. su asistente,y a'l subdelegado del partir do D. Tomas d© los, Ríos, en venganza de haber perdido mas de 200, hom bres y 5. de ios desembarcados era el ataque de aquel pueblo , que dejaron los malvados después de haberlo saqueado, como también la iglesia, lleván dose prisionero al cura D. Francisco Primo y Cuesta…</t>
  </si>
  <si>
    <t>…de S. Nicolás: al Dr, D. Vicente Aso, presbítero, maestro de ía Real escuela del barrio de S.'Marcos: á D. Francisco Lorrío, maestro de la Real escuela del barrio de Buenavista: á D. Tomas* Rodríguez, maestro de la Real escuela del barrio de S. Pascual: á D. Julián Rojo, maestro de la Real escuela del barrio del Car men calzado: á D. Aquilino Paloniiño, maestro de la Real escuela del barrio del Buen-Suceso, habiendo precedido sorteo por estar e…</t>
  </si>
  <si>
    <t>…os D. Josef de Anduaga, caballerp grap cruz,de ja ¡de Caries -conde de Sta. Clara,, caballero gran cruz de la misma ó£d¡ep ;,y de Ja de San j Hermenegildo ; D. Pascual Valle jo, y D. Tomas £ par icíp Santí», colector ^general de Espplios y "V .acames ; los cabailerizos pnineros de S$. M¡M. y AÁ. ..marques de Sotomayor , cab^llcrogran cruz de Ja Real distinguida orden de Carlos iii; D. Raíael Pinos ; marques; de Monsalú y marques de Casa Ma drid…</t>
  </si>
  <si>
    <t>Tomas, Cristóbal</t>
  </si>
  <si>
    <t>Cristóbal Tomas</t>
  </si>
  <si>
    <t>…la legión de Honor, catedrático de la universidad de Montpeílier, y socio de las academias de París, Madrid, Londres, Berlín y otras &amp;c. Compendiado en castellano por su discípulo D. Cristóbal Tomas, bachiller en filosofía por la universidad de Cervera, doctor en medicina de la de Montpeílier, socio corresponsal de la academia de París, mé dico de número y cirujano primer ayudante de los Reales egércitos, y del regi miento suizo de D. Carlos de Reding, n…</t>
  </si>
  <si>
    <t>Tonge, Roberto</t>
  </si>
  <si>
    <t>Roberto Tonge</t>
  </si>
  <si>
    <t>I'2&lt;)0 Alejandría en el buque ingles llamado Ayax , su capitán Roberto Tonge; y . en cumpliendo la cuarentena pasará á París y á Londres. Desde 1788 que des embarcó también en Marsella el hijo del famoso Tippoo-Saíb, no habíamos vuelto áí ver en Francia ningún príncipe de la India. Este enviado tiene muy buena persona, aunque es de co…</t>
  </si>
  <si>
    <t>Toñño, Vicente</t>
  </si>
  <si>
    <t>Vicente Toñño</t>
  </si>
  <si>
    <t>…lo es la misma que fue vista en 8 de Enero de 1733 por el capitán Juan Hamon, de Burdeos, y de que se habla en la página 236 del Derrotero de las costas de España en el Océano por D. Vicente Toñño, suponiéndola por latitud de 37o lo' 3o// , y en longitud O. de Cádiz 13o 22/ 30". En la Real capilla de Palacio se halla vacante la cuarta pla^a de contral to dotada con 14® rs. vn. anuales, cobrados mensualmente, y con opción á los ascensos y ventajas de la…</t>
  </si>
  <si>
    <t>Topete, Francisco</t>
  </si>
  <si>
    <t>Francisco Topete</t>
  </si>
  <si>
    <t>…ue ha reinado siempre entre el egército y la ar mada , se debe en gran manera el acierto de las operaciones. „ Igualmente recomiendo á la consideración de V. E. al valiente marino D. Francisco Topete, comandante de la corbeta Descubierta, que desde seis: días antes estovo bloqueando el puerto de Juan Griego, y batiendo sus Tuer tes; asi como al teniente de navio comandante de la corbeta Diamante Don ■ Antonio Quintano, y al osado capitán del batallón de l…</t>
  </si>
  <si>
    <t>Torderem</t>
  </si>
  <si>
    <t>…, que monta el contra-almirante Mo11er, mandado por el capitán Ternepsky; el Norte Adier, de 74, conmódoro Hamilton; el Neptuno, de 74, capitán Mossat; el Tronchsiüastitil, de 74, capitán Torderem ; el Lubeck, de 74, capitán Srepanof; el Mercurio, de 44 , capitán Novilskox; el Patricio, de 44 , capitán Toloubief, y el Astrogele, de 44, capitán Rody. Necesitando algunos de estos buques repa rarse y abastecerse de agua y de víveres, se supone que la escu…</t>
  </si>
  <si>
    <t>Torio, Torcuata</t>
  </si>
  <si>
    <t>Torcuata Torio</t>
  </si>
  <si>
    <t>…á medida del mérito de cada uno: 320 rs. á D. Cayetano de Ramos Puenle, que dedicó á la sociedad varios escritos suyos adornados con viñetas en todo conformes al célebre calígrafo D. Torcuata Torio de la Riva : 160 rs. á Juan Ventura Cabeza, vecino de la parroquia de Caleao, concejo de Paso, por haber presentado tin violin tra bajado en los momentos que le dispensaba la labranza, á que está destinado: 160 rs. á María Alvarez, soltera, por haber presenta…</t>
  </si>
  <si>
    <t>Tormasoff</t>
  </si>
  <si>
    <t>…amarlengo. S. A. I. eí gran duque Nicolás. El Príncipe reciennacido, á quien llevará en sus brazos la condesa de Lleven, dama de honor, teniendo á su lado al general de caballería conde Tormasoff, y al consejero privado actual príncipe Yussopoff , que llevarán el al mohadón y el velo. El; duque de: Wurtemberg Alejandro, la duquesa Antonia y la Princesa María.</t>
  </si>
  <si>
    <t>Torné</t>
  </si>
  <si>
    <t>…to mayor é inspector de dicho Real cuerpo en Madrid, calle de Relatores, núm. 17, cuarto principal. Sermones predicados al Rey de Francia en la cuaresma del año de 1764 por Mr. el abad Torné, canónigo de la iglesia de Orleans , é individuo de varias aca demias; traducidos al castellano en dos tomos en 4.0 La general aceptación con que fue recibida esta obra cuando se anunció por primera vez al público, los repe tidos elogios que de ella hicieron…</t>
  </si>
  <si>
    <t>Toron, Anacleto</t>
  </si>
  <si>
    <t>Anacleto Toron</t>
  </si>
  <si>
    <t>…sertaron los alumnos sobre la parre que les habí# cabido en suerte por el orden siguiente: Dia i.° D. Eusebio Navarro de la historia de la geometría y propiedades de la extensión; D. Anacleto Toron sobre la excelencia y utilidades del ál gebra. Dia 2.0 D. Pedro Navarro acerca de las leyes del equilibrio de los flui dos y sus consecuencias; D. Mariano Pinos del movimiento de los fluidos y distribución de las aguas. Día 3.0 D. Nicasio López sobre la resol…</t>
  </si>
  <si>
    <t>Torrado, Bartolomé</t>
  </si>
  <si>
    <t>Bartolomé Torrado</t>
  </si>
  <si>
    <t>…. Los lid iadores que quisiesen enterarse del plan de condiciones, y demás circunstan cias con que ha de verificarse, podrán acudir á la secretaría de la misma jun ta , á cargo de D. Bartolomé Torrado, que vive puerta del Sol, casa de U Inclusa. Por providencia de 15 del pasado del Sr. D. Francisco Xavier de Ojeda, del Consejo de S. M. en el supremo de Hacienda, juez asesor general de la Real casa f patrimonio, se cita , llama y emplaza á todas y cuaiesqui…</t>
  </si>
  <si>
    <t>Torre, Bernardo la</t>
  </si>
  <si>
    <t>Bernardo la Torre</t>
  </si>
  <si>
    <t>…s de aqueílosr que han muerto en acción de guerra; y por lo tanto he creído ser lo inas acertado remitirle á esa capital por conducto del teniente coronel de Drago* nes americanos D. Bernardo la Torre, para que V. E. se sirva tener la. bondad de ordenar se anuncie en la gaceta la expresada rifa, y nombre el su-' geto que le parezca para que entienda en ello, y señale el valor de cada cédula. „Sírvase-V. E. dispensante esta libertad por ser efecto de mis bu…</t>
  </si>
  <si>
    <t>Torre, Juan Esteban Lozano de</t>
  </si>
  <si>
    <t>Juan Esteban Lozano de Torre</t>
  </si>
  <si>
    <t>…o en suerte del primer extracto dé la dé este dia á Doña Carlota Gómez de la Serna, hija’ del brigadier ID. Gaspar; muerto en el campo del honor. ' ^ ARTICULO DB OFICIO. El Excmo. Sr. D. Juan Esteban Lozano de Torre*, consejero de Estado, y Secretario del Despacho’: universal de Gracia y Justicia de&gt;España é In dias , remitió al señor duque del Infantado , presidente dél Cbnsejo Réaí , en 19 de Abril último el Real decreto siguiente: ! ,,Diferentes comunidades dé religio…</t>
  </si>
  <si>
    <t>Torrecilla, Antonio Dámaso</t>
  </si>
  <si>
    <t>Antonio Dámaso Torrecilla</t>
  </si>
  <si>
    <t>entre lós practicantes' asistentes al teatro'de anatomía, que está á cargo del ca tedrático por S. D. Antonio Dámaso Torrecilla y D. Juan de Azaola, ci-*rujan o de número de dichos hospitales, su demostrador y maestro, con el fin de estimularlos al mayor aprovechamiento; y habiéndose verificado las opo-^ siciones á los citados premios en el mes de Mayo del corriente año á pre sencia de dos consiliarios c…</t>
  </si>
  <si>
    <t>Torrens, Pedro</t>
  </si>
  <si>
    <t>Pedro Torrens</t>
  </si>
  <si>
    <t>…esultados para comunicarlos igualmente á V.E. con los pormenores que hayan ocurrido; por lo cual mando este plie go con mi ayudante de campo el teniente del regimiento de ^aragoza Don Pedro Torrens, y una competente escolta de caballería, recbmendando á V. E. el expresado, oficial, el cual desde mi salida de esa capitalina sé.ha. se* parado un momento de mi lado, trabajando incesantemente con la mejor voluntad. ,,Dios guarde á V. E. mochos años. Cuartel…</t>
  </si>
  <si>
    <t>Torrents, Francisco</t>
  </si>
  <si>
    <t>Francisco Torrents</t>
  </si>
  <si>
    <t>…xamen de geografía, y dieron noticia de los principales sucesos de la historia de España. Distribuidos á continuación los premios de una medalla de plata á los mas sobresalientes, D. Francisco Torrents dio las gracias á los concur rentes. Algunos dias después los alumnos de la clase superior de escribir y con tar, bajo la presidencia del Excmo. Sr. D. Francisco Xavier de Castaños, ma nifestaron sus grandes adelantamientos, respondiendo á cuanto se les pregu…</t>
  </si>
  <si>
    <t>Torres, Bartolomé Muñoz de</t>
  </si>
  <si>
    <t>Bartolomé Muñoz de Torres</t>
  </si>
  <si>
    <t>…en manera alguna; antes bien para que tenga efecto daréis las órdenes y providencias que convengan: que asi es mi voluntad; y que al traslado impreso de esta mi cédula, firmado de D. Bartolomé Muñoz de Torres, mi secretario, escribano de Cámara mas antiguo, y de Gobierno del mi Conse jo, se le dé la misma fe y crédito que á su original. Dada en Palacio á o de Febrero de i8i8. = YO EL REY.=Yo D. Juan Ignacio de Ayestarán, se cretario del Rey nuestro Señor , la hice…</t>
  </si>
  <si>
    <t>Torres, Hilario</t>
  </si>
  <si>
    <t>Hilario Torres</t>
  </si>
  <si>
    <t>…Reina nuestra Señora y Sermos. Sres. Infantes D. Ignacio de Jaufegüi. Leerá aquel día á las 10 de la mañana una oración inaugural en castellano el cate drático del establecimiento D. Hilario Torres, médico de Cámara de número, examinador de medicina fjtc.. Este mismo profesor explicará durante, el'curso» las enfermedades agudas, y las crónicas serán enseñadas por su compañero en todo el catedrático1 D.* Antonio Hernández Morejpn* Con «arreglo á lo manda…</t>
  </si>
  <si>
    <t>Torres, Josef de</t>
  </si>
  <si>
    <t>Josef de Torres</t>
  </si>
  <si>
    <t>…de. Y para que llegue á noticia de los que no han comparecido á las anteriores jun tas se indican sus nombres y apellidos , que son: O. Josef Muñoz de Pando D Fe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t>
  </si>
  <si>
    <t>Torres, Juan Estéb.án Lozano de</t>
  </si>
  <si>
    <t>Juan Estéb.án Lozano de Torres</t>
  </si>
  <si>
    <t>…hagan acreedo res á esta distinción. Tendreislo entendido, y dispondréis lo necesario á su cumplimiento; == Rubricado de lá Real mano. == En Palacio ’á 21 de Octubre de 1818. = A D. Juan Estéb.án Lozano de Torres.” ' ' . ‘ ' - ; 1Í * J ’ ‘ *• ' El Rey nuestro Señor se ha servido conferir á su segundo médico de Cá mara con egercício D. Vicente Martínez la plaza de primero,, que ha resulta do vacante por. fallecimiento de,D. Ignacio de Jáuregui, con l£ dotación y en los…</t>
  </si>
  <si>
    <t>Torres, Juan Estéban Lozano de</t>
  </si>
  <si>
    <t>Juan Estéban Lozano de Torres</t>
  </si>
  <si>
    <t>…solver que se restablezca la superintendencia de pósitos,del reino, .nombran do por superintendente general á mi Secretario de Estado y del Despacho universal de Gracia y Justicia D. Juan Estéban Lozano de Torres, con el sueldo de 60® rs. de vn. anuales, para que por él corra privativamente, y se dirija todo lo que es peculiar de! ramo, cOmó antes lo ha hecho él Con sejo,, al cual exoneró de este encargo , no dudando del zelo y desinterés con que sus^in.inistros se ha…</t>
  </si>
  <si>
    <t>…¡ : ^ : h í ' :3^2.• ;Jordi^, «spaAolv-de-Tangeroíf, -¡Atáaitfeybpscrbii;iAñtcAiÍo con trigo, 30 idem. . b- « v Y/ , Yv,._■ a T 1 ^ _ - v ARITI««í|s0 &amp;Er -GHICIO. ' Por el Excmo. Sr. D. Juan Estéban Lozano de Torres, Secretarisodé Es tado y del Despacho ñniversardeCratia y Jáisticia:de España é Indias, se ha dirigido con fecha de 27 de Agosto último al Excmo. Sr. duque del Infanta</t>
  </si>
  <si>
    <t>…s taburetes rasos, uno de ellos para que á su tiempo se sentase el: señor Ministro Plenipoten ciario á firmar las capitulaciones. Puesto en pie á la derecha de esta mesa el Excmo. Sr. D. Juan Estéban Lozano de Torres, caballero gran cruz de la Real distinguida orden de Cárlos nr , consejero de Estado, secretario de Es¡tado y del Despacho universal de Gracia y Justicia de España é Indias, diputado en corte, é irdividuo primero de la junta genera! de la diputación del princ…</t>
  </si>
  <si>
    <t>…s pies del trono, con fecha de 8 de Junio último, tina sumisa y reverente exposi ción por medio del Excino. Sr. Secretario de Estado y del despacho univer sal de Gracia y Justicia D. Juan Estéban Lozano de Torres, implorando de Ja soberana munificencia la gracia de que se la permita erigir á S. M. uria.estatua ecuestre, colocándola en paragé publico, que sirviendo de modelo de lealtad á las generaciones futuras, asegure al mundo yodo que Goatemala ¡su£&gt;o guardar invio…</t>
  </si>
  <si>
    <t>Torres, Juan Lozano de</t>
  </si>
  <si>
    <t>Juan Lozano de Torres</t>
  </si>
  <si>
    <t>…y tropa de la expedición á nombre de S. M. para remediar sus necesidades y en premio de sus servicios. Madrid 2 de Enero. ARTICULO DE OFICIO» Circular del Consejo Real. El Excmo. Sr. D. Juan Lozano de Torres, Secretario de Estado y del Despacho de Gracia y Justicia, comunicó al Consejo por medio del limo*. Sr. decano de él, con fecha 20 de Mayo de este año, la Real orden siguiente: limo. Sr.: Con fecha 2 de este mes me dice el señor Secretario de Marina lo que si…</t>
  </si>
  <si>
    <t>…el rhi Consejo, para-queda dosenw peñase ante un escribano de provincia, y de ello se expidió Real cédula en ii de Enero de 1774. En este estado se ha comunicado al mi Consejo por D. Juan Lozano de Torres, secretario de Estado y del despacho universal de Gracia y Ju sticia, para su inteligencia y efectos convenientes á so cumplimiento, una Real orden que le había trasladado mi secretario del despacho de Estado , que es del tenor siguiente: „El duque de Alagon…</t>
  </si>
  <si>
    <t>…plica ción que ha de hacerse de los bienes que las correspondieron, y modo con que debe procederse en este negocio; se ha comunicado al Consejo con la propia fecha- por -el Excmo. Sr. D. Juan Lozano de Torres , Secretario de Estado y del despacho universal de Gracia y Justicia, la Real orden que di ce asi: „Excmo. Sr.: El Rey nuestro Señor se ha servido dirigirme con esta fecha el Real decreto siguiente : „ Para evitar los inconvenientes que ha oca sionado la dive…</t>
  </si>
  <si>
    <t>&gt;68 á él para su noticia y efectos consiguientes la Real orden que con fecha 17 de Febrero último le había comunicado el Excmo, Sr. D. Juan Lozano de Torres, Secretario de Estado y del Despacho de Gracia y Justicia, y dice asi: Excmo. Sr.: ,,He dado cuenta al Rey nuestro Señor de lo expuesto por V. E. en su informe de 4 de este mes sobre la exposición de los maestros ar cabuceros de esta corte, en que solicitan c…</t>
  </si>
  <si>
    <t>…sada junta con los documentos referido$.=D. Manuel Ortiz de Pinedo, corregidor. Madrid 20 de AbriL ARTICULO DB OFICIO. Circular del Consejo Real* . En 20 de Marzo último el Excmo. Sr. D. Juan Lozano de Torres, Se cretario de Estado y del Despacho de Gracia y Justicia, comunicó al Con sejo por medio del Excmo. Sr. duque del Infantado, su presidente, la Real orden que dice asi: ,,Excmo. Sr : El Sr. Secretario del Despacho de Hacienda me dice en 2$ de Febrero último…</t>
  </si>
  <si>
    <t>…ería de la plaza ha hecho los acostumbrados saludos de ordenan za, y por la noche ha habido iluminación general. A R T I C UtO U E O. F 10 I Ó, Circular del Consejo KeaU El Excmo. Sr. D. Juan Lozano de Torres, Secretario, de Estado y del despacho universal de Gracia y Justicia, ha comunicado al Consejo por me dio del Excmo. Sr. duque presidente de él, con fecha 24 de Setiembre próxi mo, la Real orden que sigue: ,, Excmo. Sr : Los genérales y i vicarios generales d…</t>
  </si>
  <si>
    <t>Torres, Manuel</t>
  </si>
  <si>
    <t>Manuel Torres</t>
  </si>
  <si>
    <t>…hirió un cazador, aunque no de gravedad; pero fue igualmente dispersa por el capitán graduado de la compañía de cazado res de Castilla D. Domingo López, y «1 teniente del Príncipe D. Manuel Torres, haciendo que algunos se despedazasen en las profundas barrancas. „E1 resultado de ésta expedición ha sido haber cogido 6 rebeldes , entre ellos un coronel, 3 carabinas, 8 caballos, y haber reconocido con prolijidad casi todos los puntos que ocupaban. ,,E1 ma…</t>
  </si>
  <si>
    <t>Torres, Manuel María de</t>
  </si>
  <si>
    <t>Manuel María de Torres</t>
  </si>
  <si>
    <t>…los cogidos se han entregado á la caballería. Todo lo que pongo en el conocimiento de V. S. ,,Dios guarde á V. S. muchos años. Dolores Marzo 23 de 1818. = Grego rio de Arana. =Sr. brigadier D. Manuel María de Torres.” Idem &amp; de Junio. COMANDANCIA GENERAL DE PUEBLA Y VERACRUZ,. Oficio del brigadier y comandante general D. Ciríaco de Llano• ,,Excmo. Sr. *. En la provincia de Puebla no ocurre novedad digna de la superior atención de V. E., manteniéndose toda ella en perfect…</t>
  </si>
  <si>
    <t>Torres, Miguel</t>
  </si>
  <si>
    <t>Miguel Torres</t>
  </si>
  <si>
    <t>…pueblos.” ., .. espana; , México 22 de Abril. , . • • ■ ' / -' • ' ■. .. . . . • Continuación de los partes de Nueva-España. KÉAt BE TEMASCAÍTEt»EC. Oficio dél teniente coronel y comandante D. Miguel Torres• ,,Excmo. Sr.Al teniente coronel D. Felipe Codallos, que con las fuer zas volantes se hallaba en la hacienda de Acatempa, le previne se dirigiese al pueblo de Sta. Marta en observación de una partida que el dia antes había marchado de auxilio: á la. del indul…</t>
  </si>
  <si>
    <t>…años. Rincón del Zapote Abril 29 de 1818.= Anastasio Bustamante. = Sr. coronel y comandante general D. Antonio de Li nares.” REAL DE TEMASCA7-TEPEC. Oficio del teniente coronel y comandante D. Miguel Torres. i.* „Excmo. Sr.: Con el mayor gozo participo á V. E. la presentación de los dos últimos pueblos de Acatitlan el grande y S- Mateo de los Ranchos, que en el territorio de mi cargo quedaban por verificarlo, asegurándome cada día mas de su completa pacificación…</t>
  </si>
  <si>
    <t>…lo han ve f , ado con vmd. Todo lo que pongo en su noticia para su satisfacción. „Díos guarde á vmd. muchos años. Amatepec Abril 11 de i8i8. = Juan Díaz. = Si\ teniente coronel y comandante D. Miguel Torres.” RUMBO DEL SUR. Confirmación de oficio de la toma de Zacatilla, presidio en que el rebelde Morelos destinaba d los fieles vasallos del Ruy nuestro Señor, que hacia prisioneros. ,, Excmo. Sr.: Con arreglo á lo que manifesté á V. E. desde el punto de Ciyaran,…</t>
  </si>
  <si>
    <t>Torwaldsen</t>
  </si>
  <si>
    <t>…gnífica ■ función, i la que asistieron todos' los personages distinguidos de Roma. ... Hoy ha ido S. M. Siciliana á ver el obrador del célebre escultor Canova, y el de su rival el caballero Torwaldsen. AUSTRIA. . Viena 31 de Octubre. .Según cartas auténticas de Temeswar de 23 del corriente el Príncipe Cállimachi, hospedar de Valaquia, había llegado á aquella ciudad con su familia, pidiendo permiso al Gobierno para fijar su domicilio en Transilvania, de re…</t>
  </si>
  <si>
    <t>Torwalson</t>
  </si>
  <si>
    <t>…el precio medio del trigo no pase de 16 escudos por medida , cuyo preció habia «ido hasta ahora de&lt; -11 es cudos. Asimismo se permitirá á todos hacer pan. ¡ r ' * - ^ c ió &gt; ’ El caballero Torwalson está tratándole que se traba je un busto colosal del general Maitland, gobernador general de las islas Jónicas,; que los vecino® de Corfú quieren hacer de bronce para colocarle en una plaza pública. El céle-* bre Ganova está haciendo para los Estados-Unidos a…</t>
  </si>
  <si>
    <t>Tos, Alonso</t>
  </si>
  <si>
    <t>Alonso Tos</t>
  </si>
  <si>
    <t>….—*' ' " |J 111 "If" — — .......■*—- '■ 1 " —"■ ' Continuación de las escampas que se hallan de venta en la calcografía de la ¡m- f. 'atedio pliego de marca 'mayó*. = Cuaderno 6 0 D. Alonso Tos tado, Luis Vives, D. Diego Hurtado de Mendoza, D. Gerónimo de Zurita, Don</t>
  </si>
  <si>
    <t>Tovar, María Gerónima</t>
  </si>
  <si>
    <t>María Gerónima Tovar</t>
  </si>
  <si>
    <t>…uan • Josef Bahamondé 6 , D. Manuel García de Noda 2 , D. Francisco Cartagena 6, jb. Jaime Cedo 4, D. Manuel Franco y, D. Ignacio Sosa 6, D* Bernardo Ferrara 6 , D. Juan Lander 4, Doña María Gerónima Tovar 4, D. Andrés . de Ibarra 1, D. Juan de la^ Madriz: 3 , D.; Josef María Madriz. 1, D. Juan Josef Rivas y Pacheco 2, D. Lorenzo Lasa 8, D. Fernando Solórzano 10, tÍ), Pedro Goitzalez/.i A J), JosefrtMaríf Monserrafe^D* Josef, María Mu A Josef Ramo» ro 2, D. Est…</t>
  </si>
  <si>
    <t>Traggia, Joaquín</t>
  </si>
  <si>
    <t>Joaquín Traggia</t>
  </si>
  <si>
    <t>…or D. Josef Antonio Conde. 6.° Memoria sobre el origen del condado de Rivagorza, y sucesión de sus condes hasta que se incorporó en la corona del Pirineo hacia el año de 1015, por D. Joaquín Traggia. 7.0 Memoria sobre las diversiones públicas que se han usado en España , por D. Gaspar Melchor de Jovellanos: u$ tomo en 4.0 mayor de mas de 520 páginas. Véndese á 46 rs. en papel, 30 en rústi ca y 56 en pasta en la librería de Sojo, calle de las Carretas, y…</t>
  </si>
  <si>
    <t>Trampillas, Francisco Xavier</t>
  </si>
  <si>
    <t>Francisco Xavier Trampillas</t>
  </si>
  <si>
    <t>…ará el perjuicio que ha ya lugar. Ensayo histórico-apologético de la literatura española contra las opiniones pre ocupadas dé algunos escritores modernos: disertaciones del. abate D. Francisco Xavier Trampillas, de la compañía de Jesús, escrito en italiano, y traducido en español: siete tomos en 4.0 Se hallará en la librería de Ortega, calle de las Carretas. EN LA IMPRENTA REAL.</t>
  </si>
  <si>
    <t>Trápaga, Agustín de</t>
  </si>
  <si>
    <t>Agustín de Trápaga</t>
  </si>
  <si>
    <t>…asado la oportuna Real provisión. En virtud de providencia del Sr. D. Manuel Josef Rubio, del Consejo de S. Al., teniente corregidor de esta muy heroica villa, se cita y emplaza á D. Agustín de Trápaga, D. bebastian Cardiel, Doña María Sexmilo» D. Miguel Sanz, D. Estéban delHoyo, D. Juan de Goya, y á los interesados en la testamentaría de D. Josef Antón; y por fallecimiento de ellos á sus herederos sucesores en sus derechos, como acreedores de la testamenta…</t>
  </si>
  <si>
    <t>Trápaga, Manuel de Ezquerra y</t>
  </si>
  <si>
    <t>Manuel de Ezquerra y Trápaga</t>
  </si>
  <si>
    <t>…de Goya, y á los interesados en la testamentaría de D. Josef Antón; y por fallecimiento de ellos á sus herederos sucesores en sus derechos, como acreedores de la testamentaría de D. Manuel de Ezquerra y Trápaga, vecino y del comercio de Madrid; y también á los otros acreedores de este que se hallen en el ea-</t>
  </si>
  <si>
    <t>Trasvina, Manuel</t>
  </si>
  <si>
    <t>Manuel Trasvina</t>
  </si>
  <si>
    <t>…ayó prisio nero en Manzanares el año de 1812 ; fue conducido para Francia, y se dice murió en la villa de Briviesca. La persona que sepa su paradero ó muerte se servirá avisarlo á D. Manuel Trasvina en esta corte, calle de Postas. La plaza de médico de la villa de Miranda del Castañar, en el obispado de Sa lamanca, se halla vacante, y está dotada en i9 cántaros de vino, que se pagan al tiempo de la cosecha: en el dia es 30 rs. cada cántaro; pero por el q…</t>
  </si>
  <si>
    <t>TrauttmansdorfF</t>
  </si>
  <si>
    <t>…entena. Se ha concluido ya la Dieta del Austria inferior, por la cual han sido concedidas todas las peticiones del Gobierno sin dificultad alguna, según la exposición hecha por el príncipe TrauttmansdorfF, comisario imperial. Hemos recibido de Constantinopla la noticia oficial de la instalación del conde de Lutzou en calidad de internuncio austríaco. Su antecesor Mr. de Sturmer tenia intención de embarcarse en el bergantín austríaco el Orion para dirigirse á T…</t>
  </si>
  <si>
    <t>Travesi, Josef</t>
  </si>
  <si>
    <t>Josef Travesi</t>
  </si>
  <si>
    <t>…rias á los comandantes respectivos, sin; que hayan dejado por aquella causa de hacer frecuentes correrías con mas ó menos fruto, y en una de ellas se presentaron al sargento mayor D. Josef Travesi 18 honrados labradores con 8 barriles de pólvora, 2 fusiles y 4 es padas, que quitaron i los prófugos de la gavil'a del rebelde Vergara. „De las billas de Córdoba y Orizaba han llegado en este mes 4 convo yes con 2374 tercios de tabaco pertenecientes al Rey,…</t>
  </si>
  <si>
    <t>Travesi, Josef María</t>
  </si>
  <si>
    <t>Josef María Travesi</t>
  </si>
  <si>
    <t>…ñan , y con la ma yor prontitud regresaré sobre el camino real,, y remitiré á V. E. la relación nominal de todos los individuos indultados. „En este pueblo queda el sargento mayor D. Josef María Travesi con 13° soldados de la columna de su mando, entre tanto que el señor Armiñan manda su reemplazo, según tiene dispuesto V. E. „ Tengo la mayor satisfacción* en participar á V. E. estas interesantes no ticias, con las que-se hace ver que el cabecilla Guadalupe…</t>
  </si>
  <si>
    <t>Travieso, Domingo</t>
  </si>
  <si>
    <t>Domingo Travieso</t>
  </si>
  <si>
    <t>…ía de cazado res de Toluca y otro canon, al teniente de ella, graduado de capitán, Don Josef Gil Tabeada; y al de Lagos cpn media compañía de fusileros de To luca, y otró canon al teniente D. Domingo Travieso. Cubrí también todos los puntos de O. y S. de esta villa, y dejando, un fuerte cuerpo de infantería de reseryá en la plaza al mando del teniente coronel graduado D. Josef Leo nardo Tejada , y otro de caballería al del de igual clase D. Manuel Rubio, me dirigí…</t>
  </si>
  <si>
    <t>5 ® Parte del teniente D. Domingo Travieso. „ Cumpliendo con la orden de V. S. me dirigí con el canon y los io hombres de fusil para la puerta de Lagos , á la que llegué á la una y media de la mañana, y en donde hallé la guardia de 4 hombres y un cabo batién dose con los enemigos, que parapetados en l…</t>
  </si>
  <si>
    <t>Travieso, Vicénte Aso</t>
  </si>
  <si>
    <t>Vicénte Aso Travieso</t>
  </si>
  <si>
    <t>…comunique á las justi cias de los pueblos de su partido; dándome aviso del recibo de esta. Madrid 27 de Octubre de 1818. El Rey nuestro Señor se ha servido, nombrar al. presbítero D. Vicénte Aso Travieso , profesor de sagrada teología, maestro de primera educación del Real cuerpo de Artillería en esta corte, en prueba de lo grato que le ha sido á S. M. el buen desempeño que ha tenido todo el tiempo que ha estado en cargado de este ministerio. El Sr. D. Angel…</t>
  </si>
  <si>
    <t>Trebijano, Manuel</t>
  </si>
  <si>
    <t>Manuel Trebijano</t>
  </si>
  <si>
    <t>…dados. De reten : 1 subalterno, 2 sargentos, 3 cabos y 16 soldados de 'infantería, y 21 de cabálléría dél-tercer escuadrón ae Voluntarios cíe Es paña. Comandante de esté'cantón el brigadier D. Manuel Trebijano: su resi dencia eíí»R©t».^ ■ .v’.V ' . A ^ t.V' VL Total fuerza de este distrito : 26 subalternos, 29 sargentos, 73 cabos y 395 soldados, y 71 de caballería. . . . Comandante general de este distrito el mariscal de campo D. Josef Igna cio Alvarez Campaña, seg…</t>
  </si>
  <si>
    <t>Trejo, Ramón Carvajal y</t>
  </si>
  <si>
    <t>Ramón Carvajal y Trejo</t>
  </si>
  <si>
    <t>…ULO DE OFICIO. El Rey se ha servido nombrar para la vara de alcalde mayor primero de Granada á D. Gerónimo Agüero : para la de Ayamonre^á D. Joatquia Avendañotpara la de Siruela á D. Ramón Carvajal y Trejo:- para la de Casas de Bes á D. Francisco Sánchez Ferrer : para la de Bodonal á D. Ma nuel Arce y Revuelta: para la de Montoro á D. Justo Rodríguez Hurtado4; para la de. Constantina a D. Josef López Requena : para la de Alconchel á IX Juan Castillejo Navalon :…</t>
  </si>
  <si>
    <t>Trelles, Josefa López</t>
  </si>
  <si>
    <t>Josefa López Trelles</t>
  </si>
  <si>
    <t>…fruto 6600 cepas: 400 rs. al mismo pór haber egecutado ún1 vivero de pinabetes, de extensión de 7 dias y medio de bueyes, cuyos' arbolitos tiene bien nacidos y cuidados: 400 rs. á Doña Josefa López Trelles, viuda y vecina de la jurisdicción de Marina, en el puerto de Cudilleroy porque presentó una tela de lienzo fino de 70 varas, que acreditó haber hilado y-blanqueado después de tejida r 300' rs. á Doña María'Trelles Infanzón del concejo de Lena , por haber ela…</t>
  </si>
  <si>
    <t>Tresantos, Manuel</t>
  </si>
  <si>
    <t>Manuel Tresantos</t>
  </si>
  <si>
    <t>TJo. cial de obra prima, que acredito concluyentemente haber trabajado á sti ofició en ef presente año todos los dias de la semana, inclusos los lunes: 500 rs. á D. Manuel Tresantos, vecino del puerto de Cudíllero, por haber beneficiado en el presénte año 73 quintales y medio de merluza cecial: 500 rs. á D. Jo-* sef López Antón, vecino del mismo puerto, por haber extraído de las entra ñas del pez llamado gata, que ha cogido con su lancha…</t>
  </si>
  <si>
    <t>Trespalacios, Francisco</t>
  </si>
  <si>
    <t>Francisco Trespalacios</t>
  </si>
  <si>
    <t>racruz D. Francisco Trespalacios , comandante del partido de Zinguilucan, me ha remitido hoy relativo al arreglo en que ha puesto aquella demarcación y seguridad en que viven sus habitantes. v „ A los tres ladrones cuatreros que expresa Trespalacios, le he preveni do que los haga trabajar en…</t>
  </si>
  <si>
    <t>Trevani, Josef</t>
  </si>
  <si>
    <t>Josef Trevani</t>
  </si>
  <si>
    <t>…era, vecinos de la ciudad de Palma; D. Manuel Felipe de Ayala; Doña María Tomasa de Ayala y Aviles, y su marido D. Francisco Camargo; Doña María de la Paz Suxbet y Ayala, viuda de D. Josef Trevani; D« Josef María Surbet y Ayala, pres bítero; D. Juan Agustín Surbet y Ayala, regidor de la ciudad de Málaga; el mis mo D. Francisco de Paula Ayala y Camargo, y la madre Sor María Francisca de Ayala y Camargo, religiosa profesa en*eL$oríyentQ/.de Sta.4Clara de…</t>
  </si>
  <si>
    <t>Triarte, Juan</t>
  </si>
  <si>
    <t>Juan Triarte</t>
  </si>
  <si>
    <t>…to, de len guas extranjeras y bellas letras del Sr. D. Carlos Ernesto Coók. ', . 1 - ■ Extracto de reglas deducidas del arte poética dé Horacio, traducido en verso cas tellano por D. Juan Triarte, y aplicadas á la retórica; por el mismo Dr. D. Miguel García de la Madrid. Se venden en la librería de Martínez, frente á!S. Felipe el ReaU .y en Barcelona.en la de Brusi. .' v I ;;-o &gt; En la librearía de Qila, calle de las Carretas,. se hallará la música si…</t>
  </si>
  <si>
    <t>Trigueros, Manuel</t>
  </si>
  <si>
    <t>Manuel Trigueros</t>
  </si>
  <si>
    <t>…ó á Pedro García. En calografía á Víctor de Cristóbal. En aritmética á Esteban Torrenova. En el Fleuri á Eustaquio Movelía. En doc-s trina cristiana á Geferiño de Moya. Escuela de D. Manuel Trigueros. En escribir: premio i.° á Vicente Blas Pueblas , l.° i Juan de Almira. En leer á Josef Puche. En el Fleuri á Faus tino Girado. En calografía á Dámaso García. En aritmética á Juan Mora-» leda. En gramática castellana á Juan de Arroyo. En doctrina cristiana á…</t>
  </si>
  <si>
    <t>Trini, Josef</t>
  </si>
  <si>
    <t>Josef Trini</t>
  </si>
  <si>
    <t>…oa Zayas, Doña Clara Navarro Balboa,1 D. Alfonso Mateos Fajardo, Doña Isabel An^ Alvarez y Montes, viuda que fue de D. Fernando Navarro Balboa, por sí y en nombre de su hijo menor D. Josef Trini4 dad Navarro Balboa y Doña María Ana Ducarne, viuda de D. Josef Navarro Balboa! como madre y tutora, y sus cuatro hijos de menor edad D. Manuel, D. Miguel, Doií Joaquín y Doña María Concepta Navarro y Balboa, sobre incorporación á-la!Real corona.de la escriba…</t>
  </si>
  <si>
    <t>Trujiilo, Josef</t>
  </si>
  <si>
    <t>Josef Trujiilo</t>
  </si>
  <si>
    <t>…ales y 7 y medio mrs. vn. que ha hecho á favor del Erario por sus sueldos Cencidos hasta fin de Agosto del año próximo pasado el oficial quinto del cuerpo del ministerio de Marina D. Josef Trujiilo; mandando que se publi que en la gaceta este rasgo de generosidad, y se le den las gracias en su Real nombre. El Señor marques de Altamira, individuo de la Real sociedad económica matritense, ofreció á este cuerpo patriótico tres onzas de oro para un premio r…</t>
  </si>
  <si>
    <t>Trujiilo, Ramón</t>
  </si>
  <si>
    <t>Ramón Trujiilo</t>
  </si>
  <si>
    <t>…eral aplicada á la fisiología y á la medicina, por Francisco Xavier Bichat, médico del hospital de Humanidad de París» y catedrático de anatomía y fisiología: traducida por el Dr. D. Ramón Trujiilo, médico de número de los Rea les hospitales General y rasión de esta corte &amp;c. &amp;c. E&gt;ta obra, que consta de 4 to mos en 8.° mayor, ofrece una multitud de aplicaciones las mas útiles á la fisiología y ala medicina práctica. Se hallará á 84 rs.en pasta y 72 en…</t>
  </si>
  <si>
    <t>Trujilío, Rafael</t>
  </si>
  <si>
    <t>Rafael Trujilío</t>
  </si>
  <si>
    <t>…de Oñate. ■Este distrito se subdividirá en dos partidos al cargo de.un capitán, que se situarán en Estepona y Marbella. / ‘ •' i , Distrito de Málaga. . Primer gefe el Excmo. Sr. gobernador D. Rafael Trujilío, mariscal de campo de los Reales egércitos; segundo gefe ei brigadier D. Estanislao Solano., Este distrito se subdividirá en tres partidos, al cargo del comandante del regimiento infantería de Jaén D. Antonio Romero de Leis, que se situará en Torre-Molinos; d…</t>
  </si>
  <si>
    <t>Tscherkassoff</t>
  </si>
  <si>
    <t>…bleza elegidos para asistir á este consejo fueron el montero mayor Mr. Narischkin, el mayor general Moller, el consejero privado y senador conde ChvostofF, el consejero de colegio barón Tscherkassoff, el mayor general AdadouroíF, el preboste de los comerciantes de Petersburgo Joukof. Los individuos del cuerpo de comer ciantes que concurrieron también á este consejo, como elegidos que hablan sido para ello, fueron el consejero de comercio Molw, el negocian…</t>
  </si>
  <si>
    <t>Tsquiagav, Josef Ignacio</t>
  </si>
  <si>
    <t>Josef Ignacio Tsquiagav</t>
  </si>
  <si>
    <t>…D. Félix López 2c, D. Juan Nepomuceno Be llo 30, D. Víctor Lerin 15 , D. Juan Josef Fuertes 10, D. Antonio Oramas 10, D. J osef Pacanis y Nicolau 10, D. Juan Tomas Zaldarriaga 10} D. Josef Ignacio Tsquiagav 2o , D. Rafael Minteguiaga 15, D. Ramón Go mia 10, D. Josef Ramón Zozalla 2, D-&gt; Jaime Mas 8, D. Martin de Irrgo•yen 8 , D.; Juan:.Gcrd.il.' d, D¿ tMiguel Antonio Oyarzabal 6 , D. Joaquín/ Emazabei 4, D. Antonio Delgado 4 , D. Vicente.Sarria 4, D. Marcial Bei…</t>
  </si>
  <si>
    <t>Tuñon, Ignacio García de</t>
  </si>
  <si>
    <t>Ignacio García de Tuñon</t>
  </si>
  <si>
    <t>…pasado, y á consecuencia de los ofrecidos en igual dia del año anterior ha distribuido los premios y gra tificaciones siguientes agricultura y artes. Doscientos reales de vellón á D. Ignacio García de Tuñon, vecino de la parroquia de S. Justo, concejo de Salas, porque acre ditó completamente haber plantado, y tener prendidos y bien cuidados 82 nogales: 400 rs. á Manuel Fernandez Féiix, vecino de la Ribera de arriba, por haber cogido en el presente año, y terreno…</t>
  </si>
  <si>
    <t>Tuñon, Juan González</t>
  </si>
  <si>
    <t>Juan González Tuñon</t>
  </si>
  <si>
    <t>…con que le ha agraciado S. M. Cristianísima. Igual permiso ha concedido S. M. á los Sres. D. Francisco Xavier López de Molina, canónigo, dignidad de la Sta. iglesia de Olivares, y D. Juan González Tuñon, maestrante de la Real de Ronda, para que puedan usar de la misma condecoración con que también los ha agraciado S. M. Cristia nísima, La dirección general del Crédito publico en debido cumplimiento del Real decreto de 3 del corriente ha dispuesto que-desde l…</t>
  </si>
  <si>
    <t>Turbica, Antonio</t>
  </si>
  <si>
    <t>Antonio Turbica</t>
  </si>
  <si>
    <t>…don D. Marcelino Sainz en el citado pueblo; el de Puerto-Llano D. Car los Martin del Romeral en esta corte calle de Atocha, pasadizo de la fon da , cuarto principal; el de Tiermas D. Antonio Turbica en Villel de Mesa; el del Molar D. Tomas Bermudez en Madrid, calle de las Huertas, frente á la del Lobo, núm. 9, cuarto bajo; el de Trillo D» Josef María Brull, calle del Olivo bajo , cuarto 3.0, frente ála lotería ; el jde AIcantud D. Atanasio Herrainz en la…</t>
  </si>
  <si>
    <t>Tuya, Antonio</t>
  </si>
  <si>
    <t>Antonio Tuya</t>
  </si>
  <si>
    <t>…el capitán D. Manuel Velazquez , los tenientes D. Juan Sorelo, Don Juan Gómez, D. Josef Segador, D. Josef Elua y D. Manuel Martin Alvarez, y los subtenientes D. Tiburcio de Cañas, D. Antonio Tuya, D. Ma nuel Sánchez Trívino y D, Martin de Santiestéban, heridos. Dragones de S. Luis: el capitán D. Anastasio Bustamante herido. Dragones de S. Carlos: el capitán D. Manuel Linares herido de gravedad. Segunda sección: bata llón ligero voluntarios de Navarra:…</t>
  </si>
  <si>
    <t>Tzturiz, Josef</t>
  </si>
  <si>
    <t>Josef Tzturiz</t>
  </si>
  <si>
    <t>…nte, que con ella aterró á la infantería por ser á su vista; al ca pitán de lanceros del país D. Ramón García, qué dirigió aquellos con valor;5 al capitán de cazadores de Castilla D. Josef Tzturiz, que mandaba las doscompañías. Igualmente lo hago á V. E¿ del capitán de zapadores , graduado de teniente coronel, gefe interino del estado mayor de esta división D. Sebas tian Díaz, y al teniente graduado adicto ál mismo D. Benito Rodríguez. A todos estos in…</t>
  </si>
  <si>
    <t>Ü, Juatl Antonio</t>
  </si>
  <si>
    <t>Juatl Antonio Ü</t>
  </si>
  <si>
    <t>…scribanía de D,oa Josef Rodríguez Pelaez, escribano mayor de Guerra, se \están siguiendo autos de testamentaría, inventario y partición de los bienes relictos por fallecimiento de Don Juatl Antonio Ü&amp;imenez Pérez y Dona María Isabel Aguayo; en los que con fecha de 16 de Enero del corfíente año se ha dado: providencia por él Exorno. Sr. capi tán general y gobernador de dicha plaza , con acuerdo de sú auditor , en la que en tre otras cosas manda que los acr…</t>
  </si>
  <si>
    <t>Ubierna, Florentina Rodríguez de</t>
  </si>
  <si>
    <t>Florentina Rodríguez de Ubierna</t>
  </si>
  <si>
    <t>…D. Fernando en poder de D. Nicolás Ferrari, ayuda de cámara que era del Sermo. Sr. Infante D. Antonio; y teniendo dicho' D, Fernando derecho conocido á cierto mayorazgo que poseyó Doña Florentina Rodríguez de Ubierna, vecina que fue del lugar-de Huermeces, provincia de Burgos, se da este aviso para si existe que comparezca, ó persona á su nombre, en la librería de Quirós, donde se dará mas razón, ó en la ciudad de Burgos, casa de Doña Sinforosa Montero. Se suplica á la, p…</t>
  </si>
  <si>
    <t>Ucar, Manuel de</t>
  </si>
  <si>
    <t>Manuel de Ucar</t>
  </si>
  <si>
    <t>…opa de mi mando, y con particularidad del mérito, valor y* conocimientos militares del comandante del batallón de la Reina D. Eugenio . Ajana , del ayudante mayor de dicho, cuerpo D. Manuel de Ucar, el valor é , ~ w&gt;* • ” •</t>
  </si>
  <si>
    <t>Udias, Juan Antonia Cuervo y D-Antonlo</t>
  </si>
  <si>
    <t>Juan Antonia Cuervo y D-Antonlo Udias</t>
  </si>
  <si>
    <t>…tividad y valor se distinguió ert todas sus operaciones, y co municó con puntualidad las órdenes que le daba. : ! ¿ , Los tenientes coroneles graduados de reálistas dé Chicontepeó D. Juan Antonia Cuervo y D-Antonlo Udias cumplieron exactamente con sus debe re ,, Los sargentos ; cabos y soldados de los piquetes de realistas de Huexutr la, Zacualtipari, Ixhuatlan , Mesa de coroneles S. Lorenzo y Huehuetla sé han esforzado extvaordinárianiente en cumplir con su obligación, sin q…</t>
  </si>
  <si>
    <t>Ugarte, Domingo</t>
  </si>
  <si>
    <t>Domingo Ugarte</t>
  </si>
  <si>
    <t>…án graduado de teniente co ronel D. Anastasio Bustamante; capitán D. Andrés Huete; teniente D. Josef Gaitan; alféreces D. Juan Lesaca y D. Feliciano Guerra. De S. Carlos: ca pitán D. Domingo Ugarte; alféreces D. Cesáreo Medellin y D. Mariano Mondragon. Fieles de S. Luis: capitán graduado de teniente coronel D. Ni colás Zarzosa; teniente graduado D. Patricio Gutiérrez. Nueva-^Galicia : ca-, piran graduado D. Mariano González Laris; alférez D. Mariano Bec…</t>
  </si>
  <si>
    <t>…as cargas, y mandando por 1 á derecha dds guerrillas de cazadores al cargo de los tenientes D. Anselmo González y del capitán graduado D. Rai mundo del Olmo, y por la izquierda al capitán D. Domingo Ugarte con 40 caballos , encargándole el mando de un cañón al tehiente D. Ignacio Nieto, .y el'Otro al subteniente D. Josef Manuel Montano; y marchando en buen ór*den hacia el enemigo, me reservé 40 granaderos para proteger y ayudar las guerrillas que necesitasen se…</t>
  </si>
  <si>
    <t>Ugarte, Ildefonso</t>
  </si>
  <si>
    <t>Ildefonso Ugarte</t>
  </si>
  <si>
    <t>…ntro de los dos bata llones de la derecha de infantería enemigo, mandado por el coronel D. Pedro González Villa, teniente coronel, y convalidante del mismo, y el segundo las de su comandante D. Ildefonso Ugarte, con dirección también al centro, de Jos dos batallones de su izquierda. En el centro de ambos cuerpos las com-</t>
  </si>
  <si>
    <t>…ue puesto1 á su frente lo dirigid á las filas enemigas con la mayor serenidad, hasta- que fue herido á muy corta distancia de ella ; al cómandante del segundó batallón5 de Navarra D. Ildefonso Ugarte, que marchó al frente del suyo con la sereni dad que le es propia ; al comandante de escuadrón de húsares D. -Juan Juez, que con el suyo rechazó y batió ai enemigo ; al sargento mayor del mismo D. Diego Aragonés, que dio la carga con tan buen éxito á la cabal…</t>
  </si>
  <si>
    <t>Ugarte, Josef</t>
  </si>
  <si>
    <t>Josef Ugarte</t>
  </si>
  <si>
    <t>…Ruiz Ordoñez., D. Vicente González y D. Antonio Henriquez: los sub tenientes D. Diego Duran, D. Vicente Benavides y D. Tomas Calvo: el ca pitán D. Manuel Pinuer; y el subteniente D. Josef Ugarte. ,,Ultimamente concluyo con demostrar el mayor -sentimiento por la muerte del esforzado subteniente de infantería de Concepción D. Alejo Da-* rae y Vilches, joven de una disposición , conducta y valor extraordinario, habiendo concedido á D. Juan Darac y Vilch…</t>
  </si>
  <si>
    <t>Uhicon, Josef</t>
  </si>
  <si>
    <t>Josef Uhicon</t>
  </si>
  <si>
    <t>…erez Escovar, D. Joa quín Antonio Román, los Sres. Alzueta y Beratarrechea, D. Rafael Rodríguez, D. Juan de Dios Elias, los Sres. Bohe, hermanos y compañía, D. Mariano de Urbieta, D. Josef Uhicon, D. Ignacio Suarez, D. Francisco Antonio Abadía, Doa Mariano Gil y D. Josef Vilar, últimos tenedores de 32 vales Reales; 15 de ellos de 150 pesos, creación de Enero de 1808, con los números 23*689, 245110, 252506, 253818, 255204, 264499, 269131, 273684 , 2836…</t>
  </si>
  <si>
    <t>…erez Escovar, D. Joaquín Antonio Ro mán, los Sres. Alzueta y Beratarrechea, D. Rafael Rodríguez, D. Juan de Dios Elias, los Sres. Bohe, hermanos y compañía, D. Mariano de Urbíeta, D. Josef Uhicon, D. Ignacio Suarez, D. Francisco Antonio Abadía, D. Mariano Gil y D. Josef Vilar, últimos tenedores de 32 vales Reales, 15 de ellos de 150 pesos, creación de Enero de 1808, con los números 231689, 245110,252506, 253818, 255204, 264499, 269131, 273684, 283688,…</t>
  </si>
  <si>
    <t>Uigoña, Narciso</t>
  </si>
  <si>
    <t>Narciso Uigoña</t>
  </si>
  <si>
    <t>…do. 1000 idem......... En Barcelona. ARTICULO I&gt;E OFICIA Por Real resolución de 26 dé Noviembre último, á consulta del Consejo supremo de la Guerra, se ha servido S. M. conceder á D. Narciso Uigoña,, segundo practicante de farmacia de la botica militar de Melilía, el fuero mi litar, y uso de uniforme de practicante de farmacia de egército, en premio de lo» servicios que ha hecho ea esta clase enr fas boticas militares de campaña durante la última guerra…</t>
  </si>
  <si>
    <t>Ulano, Ciríaco de</t>
  </si>
  <si>
    <t>Ciríaco de Ulano</t>
  </si>
  <si>
    <t>…éC Abrtl i3 de 1818 Juan Zamorategui. = Sr. teniente coronel y comandante D. Nicolás Gutiérrez.” Idem 2 de Jimio. Porté del teniente coronel D. Ignacio Amor al comandante general' Don Ciríaco de Ulano. . ,, Ayer al toque de diana salieron por el bosque y por diferentes.</t>
  </si>
  <si>
    <t>Uluapa, Josef Ignacio de Acevedo y</t>
  </si>
  <si>
    <t>Josef Ignacio de Acevedo y Uluapa</t>
  </si>
  <si>
    <t>…D. Manuel López de Rivas, se halla pendiente una instancia de D. Pedro Junco, de esta vecindad, y dueño de una casa sita en la calle del Lobo , níitn. 19, de la manz. 217, contra D. Josef Ignacio de Acevedo y Uluapa, inquilino que fue de un cuarto principal de ella, sobre pago de sus inquilinatos; y hallándose consig nados por este, desde el año pasado de 1809, dos vales Reales, uno de 300 pesos y otro de 150, para pago de su débito, se ha acudido por el D. Pedro Junco,…</t>
  </si>
  <si>
    <t>Uñan</t>
  </si>
  <si>
    <t>…y que el número de los rebeldes muertos en ios encuentros con loe nuestros la noche de su salida se conceptúa será de 600 á 700 de los 1® de armas, que según partes anteriores del Sr. Uñan los guarnecían, no sabiéndose de otra desgracia por nuestra parte que la de un soldado muerto. ,, Y para dar á Dios nuestro Señor las debidas gracias y .á su santísima Madre nuestra intercesora y abogada por tan señalado beneficio, ha dispues to el Excmo. Sr.…</t>
  </si>
  <si>
    <t>Unzas, Juan de</t>
  </si>
  <si>
    <t>Juan de Unzas</t>
  </si>
  <si>
    <t>…sta iglesia vacante por ascenso de D. f Josef Vivero á la dignidad de chantre de la misma: la dignidad de tesorero de? la santa iglesia catedral de Arequipa, vacante por muerte de D. Juan de Unzas , á D. Juan de Dios Bülnes: la canongía que este deja á D. Josef Valdés y Velasco; y la ración que resulta vacante á D. Josef de Novoa y Parga: últimamente la ración que ha quedado vacante en la santa iglesia catedral de Durango- por fa llecimiento de D. Fran…</t>
  </si>
  <si>
    <t>Unzueta, Manuel</t>
  </si>
  <si>
    <t>Manuel Unzueta</t>
  </si>
  <si>
    <t>…Mogro y D. Santos Caravantes : el coronel de milicias Don Francisco González Palma: el capitán del Real cuerpo de ingenieros Don Francisco Alvarez: los capitanes D. Camilo Acuña, D. Manuel Unzueta y D. F rancisco Despot: el ayudante D. Aniceto Valverdet los tenientes Don Juan Ruiz Ordoñez., D. Vicente González y D. Antonio Henriquez: los sub tenientes D. Diego Duran, D. Vicente Benavides y D. Tomas Calvo: el ca pitán D. Manuel Pinuer; y el subteniente D. Jose…</t>
  </si>
  <si>
    <t>Urbano, Josef</t>
  </si>
  <si>
    <t>Josef Urbano</t>
  </si>
  <si>
    <t>…amente coger- cuatrorebeldes armados y montados, y quitar 40 cargas, de, algodón-que conducian. ; &lt; • . ¡ \ ,,Desde dicho puntóme comqnica su comandante militar, teniente coro nel D. Josef Urbano, que una partida del de igual clase D. Miguel Barragan aprehendió al titulado mariscal Huidobro, teniente coronel; Campuzaho, ca^ pitan Bolaños y otros; todo lo que pongo en él debido superior conocimiento de V. E. ínterin recibo les partes. ; , L ,• • •’ ,,…</t>
  </si>
  <si>
    <t>Urbieta, Mariano de</t>
  </si>
  <si>
    <t>Mariano de Urbieta</t>
  </si>
  <si>
    <t>…Franco, Doña Librada Perez Escovar, D. Joa quín Antonio Román, los Sres. Alzueta y Beratarrechea, D. Rafael Rodríguez, D. Juan de Dios Elias, los Sres. Bohe, hermanos y compañía, D. Mariano de Urbieta, D. Josef Uhicon, D. Ignacio Suarez, D. Francisco Antonio Abadía, Doa Mariano Gil y D. Josef Vilar, últimos tenedores de 32 vales Reales; 15 de ellos de 150 pesos, creación de Enero de 1808, con los números 23*689, 245110, 252506, 253818, 255204, 264499, 2691…</t>
  </si>
  <si>
    <t>Urbíeta, Mariano de</t>
  </si>
  <si>
    <t>Mariano de Urbíeta</t>
  </si>
  <si>
    <t>…Franco, Doña Librada Perez Escovar, D. Joaquín Antonio Ro mán, los Sres. Alzueta y Beratarrechea, D. Rafael Rodríguez, D. Juan de Dios Elias, los Sres. Bohe, hermanos y compañía, D. Mariano de Urbíeta, D. Josef Uhicon, D. Ignacio Suarez, D. Francisco Antonio Abadía, D. Mariano Gil y D. Josef Vilar, últimos tenedores de 32 vales Reales, 15 de ellos de 150 pesos, creación de Enero de 1808, con los números 231689, 245110,252506, 253818, 255204, 264499, 269131…</t>
  </si>
  <si>
    <t>Ures, Josef</t>
  </si>
  <si>
    <t>Josef Ures</t>
  </si>
  <si>
    <t>…teniente D. Josef María Fierto y el ca dete D. Juan Paule, muertos: el capitán D. Fernando Puertas y el subte niente D. Miguel Culebras, heridos de gravedad; y el ayudante segundo Don Josef Ures herido. Regimiento Provincial de Toluca: el capitán graduado D. Mariano Molina muerto; y en la división auxiliar de Nueva-Galicia ha sido herido el ayudante del comandante general de ella. Asimismo han sido contusos el brigadier D. Domingo Estanislao de Loace…</t>
  </si>
  <si>
    <t>Uriarte, Josef Villamil y</t>
  </si>
  <si>
    <t>Josef Villamil y Uriarte</t>
  </si>
  <si>
    <t>…el colegio militar de Segovia D. .Antonio Ter-^ jrero y Díaz; D. Mariano Salas y Azara; D. Francisco Lavalette y Rada; D. Rafael Suarez y Ceuti; D. Josef María Nuñez y Fernandez ; D. Josef Villamil y Uriarte; D. Narciso Ár'espacochaga y Bertendona; D. Josef XJrbina y Daoiz ; D. Josef Sola y del Castillo ; D. Pedro Villar y Abello \ Don Diego Fernandez Carcelen; D. Antonio Lardin y Pinto; D. Antonio Fer* nandez Carcelen; D. Francisco Osorio y Bernal; D. Manuel Mar…</t>
  </si>
  <si>
    <t>Urquiza, Manuel Domingo de</t>
  </si>
  <si>
    <t>Manuel Domingo de Urquiza</t>
  </si>
  <si>
    <t>…es. D. Joaquín Blake y.subteniente áspiránte al ¿Real cuerpo de ingenieros., D* Manuel Pose, alférez del Real cuerpo de&lt;ii*± genieros ae la Armada, D. Angel Calderón de la! Barca, D. Manuel Domingo de Urquiza, D. Francisco García, D. Antonio Castro, D. Josef Belda, D. Jo sef Casado, y D. Luis Cifuentes, oyente. u ó Los examinadores nombrados por S. Ar R. fueron los1 Srés. D. Tgnacid Jáuregui, primer médico de CámaradeS.M.; D. «Agustín Mestre * boticario! mayor; D.…</t>
  </si>
  <si>
    <t>Urquiza, Víctor</t>
  </si>
  <si>
    <t>Víctor Urquiza</t>
  </si>
  <si>
    <t>…batallón de Granada D. Agus tín Nogueras, que se distinguió á la cabeza de él, fue herido, y el teniente del mismo cuerpo D. Agustin Lázaro. También han sido heridos el ayu dante D. Víctor Urquiza, y el subteniente D. Juan Santiago, del regimiento de la Union , el teniente de Búrgos D. Antonio Gil, y el capitán de Navar ra D. Antonio Ladoux. El capitán de Granada D. Pió Sánchez Garcés fue contuso. „Los capitanes del regimiento de la Union D. Pascual Ch…</t>
  </si>
  <si>
    <t>…ontero, que fue herido en la carga que dio con su compañía, yD. Joaquín de San Martin, que se distinguió mandando Jas dos de su cuer po en los ataques de los rebeldes: al valiente capitán D. Víctor Urquiza, que hallándose con su compañía avanzado, sostuvo un vivo fuego y las posiciones; hasta que fue auxiliado, y ha salido gravemente herido; á los tenientes Don Ramón Momos y, D. Juan Cabrera: á los subtenientes D. Luis Díeguez, que salió Jierido, D. Juan Gonzál…</t>
  </si>
  <si>
    <t>Urruela, Gabriel de</t>
  </si>
  <si>
    <t>Gabriel de Urruela</t>
  </si>
  <si>
    <t>…á al Real fisco y Cámara, y les parará el perjuicio que haya lugar. _ „ _ _ , Habiendo fallecido en la noche del 4 del corriente en esta corte Dona Mana Carrasco Gavilán, viuda de D. Gabriel de Urruela, natural de la villa de Escarniila, obispado de Cuenca, hija de D. Juan y Doña María Gallego, abintestato (pues aunque se halló entre sus papeles una declaración de pobre, en que instituía por heredera á su hermana Doña Isidora Carrasco, parece haber fallecid…</t>
  </si>
  <si>
    <t>Ursua, Josef María de</t>
  </si>
  <si>
    <t>Josef María de Ursua</t>
  </si>
  <si>
    <t>…pudo distinguir el rumbo que tomaron, y de alli regresamos á este punto. „ Fue mucho el valor de esta tropa, la que se portó con la mayor bi zarría; pero sobresalieron el alférez D. Josef María de Ursua, sargento de Colima Bernardo González, distinguido D. Josef María Farias, sargento y cabos de este piquete, singularizándose el capitán Pedro Alonso con toda su compañía de indios, pues se manifestó con el mejor zelo en la defensa: lo mismo el sargento de rea…</t>
  </si>
  <si>
    <t>Uztariz, Francisco de Paqla</t>
  </si>
  <si>
    <t>Francisco de Paqla Uztariz</t>
  </si>
  <si>
    <t>…tar y político de Sanlucar de Barrameda al mariscal de campo D. Carlos Fabre D’aiinoy, capitán del segundo regimiento de Reales guardias de infantería: el de Huesca, en Aragón, al brigadier D. Francisco de Paqla Uztariz, capir* tan del primer regimiento de las mismas Reales guardias: el del castillo de la isla de la Cabrera, una de las Baleares, á D. Francisco Guillen, alférez del regimiento de dragones de Numancia: la primera ayudantía de la plaza de Alcántara al teniente D…</t>
  </si>
  <si>
    <t>V, Gleímeñte</t>
  </si>
  <si>
    <t>Gleímeñte V</t>
  </si>
  <si>
    <t>…spirar dentro de breve 1 con tal ¡vehemencia, que tiempo. Antes de las'nueve se repitió la accesión , y reunidos á lás diez y media losmédicosD.Manuel Asen si, D. Pedro Sebastiá, -D. Gleímeñte V&amp;lentí y el de la;¡asistertCÍa*¡E). Bernardo íiLópezrEchavarría adr miraron un estado tan opuesto al de los síntomas ocurridos en la misma tarde. Su rostro estaba tan extraño é iracundo-qüe¡excitaba miedo; sus ojos muy ■ encarnizados , y al páfécerteñidosensan…</t>
  </si>
  <si>
    <t>V, Juan</t>
  </si>
  <si>
    <t>Juan V</t>
  </si>
  <si>
    <t>…2 pesos, D. Juan Insua 2 , Don Francisco Rodríguez Mesa 2 * Sres. Perez y Chaves 4, D. Ramón Gutiér rez 6, D. Feliciano Borges 4, D. Josef Hernández Horta 4 , D. Matías Cas tro 4, D. Juan V ícente Perez 2, D. Antonio García 2 , D. Pedro Castillo 4, D. Josef Antonio Rasquin 5 , D. Francisco de Iturbe 10, D. Ramón de Azpurua 5 , Dv Miguel Rabelo Alcántara 16, D. Félix Domingo Martínez 2 , Don Juan: Esteban de dEehezuria 20, D. Bernardo Pénelas 20,…</t>
  </si>
  <si>
    <t>Va</t>
  </si>
  <si>
    <t>…aballería á las del capitán D. Josef María Arancibia, 10 dragones del Príncipe, y 14 realistas de Panales á las del te niente 0. Pedro García, y 26 realistas de S. Josef a las del teniente D. Va lentín Vera, con el objeto de que persiguiese á los rebeldes que habitan en hacienda &lt;le lo de Pena, cañada de Tirados, cerro Agustino y estancia de Guapango. Asi lo verifiqué ; y luego que avisté al de Peña en distancia de me dia legua, se presentaron los re…</t>
  </si>
  <si>
    <t>Va, Josef Nicolás</t>
  </si>
  <si>
    <t>Josef Nicolás Va</t>
  </si>
  <si>
    <t>…eza á la ciudad de Trujillo, punto adonde ha Jleyado tantas veces la' revolución, causando infinitos males, después de haber §ido batida y muerta toda su partida por el benemérito D. Josef Nicolás Va lero , dé cuyas manos pudo escapar aquel; pero fue aprehendido en el monté por.el fiel vecino de Bocond D. Pedro Almansa, quien se lo presentó al indi cado coronel Calzada. ,,Todo lo que pongo en noticia de V. S. para su satisfacción y la de los leales habita…</t>
  </si>
  <si>
    <t>Va, Ramón García de</t>
  </si>
  <si>
    <t>Ramón García de Va</t>
  </si>
  <si>
    <t>…n á desaparecer!1 ¡Qué de opiniones acredita das se desvanecerán á vista de los hechos! ESPAÑA. Madrid 4 de Mayo. ARTICULO DE OFICIO. En atención á los méritos y circunstancias de D. Ramón García de Va* Iladolid,se ha servido el ReT nuestro Señor agraciarle con la cruz supernu meraria de Carlos m. Por disposición de la Real junta superior gubernativa de Medicina, en-</t>
  </si>
  <si>
    <t>Vaca, Pedro Pablo</t>
  </si>
  <si>
    <t>Pedro Pablo Vaca</t>
  </si>
  <si>
    <t>…l partido de Iot insurgentes en las provincias de Sta. Cruz de la Sierra, Chiquitos y Charcas, se encaminaron á esta capital con dicho objeto, atravesando el reino del Brasil; Dr. D. Pedro Pablo Vaca, cura rector de la catedral de Sta. Cruz de la Sierra; D. Josef Antonio Ortiz, cura coadjutor de la misión de Porongo; D. Josef Andrés Salvatierra, cura interino de S. Pedro de Buena vista, arzo bispado de Charcas; D. Josef Mariano Caílau, cura de Santiago ¿…</t>
  </si>
  <si>
    <t>Val, Josef</t>
  </si>
  <si>
    <t>Josef Val</t>
  </si>
  <si>
    <t>…, los directores los juzgaron dignos de esta recompensa, y la academia condescendió con su propuesta; En el dibujo’de principios se adjudicáronlos premiosa D. Joaquín Gironzá' y á D. Josef Val. Hecha la expresada adjudicación se presentaron Jos discípulos én l# junta-ordinaria del 5 del.corriente, y recibieron sus pre«r</t>
  </si>
  <si>
    <t>Valbuéna, Bérnaido de</t>
  </si>
  <si>
    <t>Bérnaido de Valbuéna</t>
  </si>
  <si>
    <t>…grafía de la im prenta Real, zn En medio pliego de marca mayor. =: Cuaderno 18. D. Pedro Fer nandez de Vélascó, Juan Sebastian de Eícaho, Fr. Melchor Cano, el P. Alfonso Salmerón, D. Bérnaido de Valbuéna^ y D.FelipeGil de Taboada. Cada cuaderno dé seis retratos con el epítome dé su, vida , 50 rs.: cada retrato suelto á 8 rs. Por providencia dél Sr. D. Angel Fernandez de los Ríos , ¡del Consejó de S. M , primer teniente de corregidor de esta muy heroica villa,…</t>
  </si>
  <si>
    <t>Valbuena, Manuel de</t>
  </si>
  <si>
    <t>Manuel de Valbuena</t>
  </si>
  <si>
    <t>…as familiares de Cicerón ; y á los dos mas adelantados en el arte métrica , poética y retóricá, las obras de Virgilio traducidas con su vida , y los comentarios de Julio César por Don Manuel de Valbuena. Al joven que sobre estos conocimientos reúna los ele mentales de historia sagrada j profana, las obras de Cayo Salustio Crispo^ traducidas por el Sermo. Sr. Infante D. Gabriel. Al rriafésrró de primeras letr s y latinidad en su respectiva escueta que present…</t>
  </si>
  <si>
    <t>…lima por D. Antonio Sandalio y Costas, catedrático del Real jardín Botánico, á 10 rs. en rustica y 1 2 en pasta. Los comentarios de Cayo Julio Césajr, traducidos al castellano por D. Manuel de Valbuena, individuo de las Reales academias española y latina matritense: segun-^ da impr«siun nuevamente corregida, con el texto latine-, el busto de César y dos ma-pas, el uno de las Galias y el otro de la España, segan se hallaba dividida en aquel tiempo. Los milit…</t>
  </si>
  <si>
    <t>…al or den americana de Isabel la Católica. Los oficios de Cicerón, con los diálogos de la vejez, de la amistad, las paradojas y el su-eño de Escipion, traducidos en castellano por D. Manuel de Valbuena, indi viduo de las Reales academias española y latina matritense. Tercera edición en dos tomos en 8.° prolongado, con el texto latino, corregida por el mismo traductor. Se hallará en el despacho de la Imprenta Real á 32 rs. en pasta, y en ei almacén de la mis…</t>
  </si>
  <si>
    <t>Valcárcel, Antonio</t>
  </si>
  <si>
    <t>Antonio Valcárcel</t>
  </si>
  <si>
    <t>…:al capitán ayudante mayor de Valencia D; Josef de* las Báreenas, que ha-' biendo recaído el mando en él, atacó siempre al enemigo con ventaja: al te niente coronel de la Victoria D. Antonio Valcárcel, ayudante de estado ma-* yor de la segunda división: al teniente graduado de capitán del Real cuerpo de Artillería , gefe de estado mayor de la primera división, D. Estéban Diaz, que á mi lado desempeñó las funciones de su empleo con la serenidad y valor que…</t>
  </si>
  <si>
    <t>Valdearenas, Josef Joaquín de</t>
  </si>
  <si>
    <t>Josef Joaquín de Valdearenas</t>
  </si>
  <si>
    <t>…. M., alcalde de Ca sa y Corte, de 24 del pasado, se ha mandado que por este periódico sean citados, llamados y emplazados, con término de un mes, contado desde i.° del corriente, D. Josef Joaquín de Valdearenas, D. Josef Valero Espinosa , natural de Moneada, en el reino de Valencia, D. Antonio Carrasco, de Gén.ova, D. Rafael Correa, Joa quín Rodríguez, de Asturias, Doña Rosa Velazquez, Doña Teresa González, de Valladolidi Antonia Carreras, de Valdemoro, y D. Francis…</t>
  </si>
  <si>
    <t>Valdearenas, Josefa Gabriela</t>
  </si>
  <si>
    <t>Josefa Gabriela Valdearenas</t>
  </si>
  <si>
    <t>…ara de esta corteé y á cu-1 yo goce y obtención de dichos patronatos está reservado igualmente el derecho por la sentencia de la chancillería » á los que 1c puedan tener mejor que Doña Josefa Gabriela Valdearenas. Por providencia del Sr. D. Joaquín de Almazan, del Consejo de S. M., tenien te primero de corregidor de esta muy heroica villa» refrendada, del Escribano del número D. Tomas María Manrique» se cita, llama y emplaza á todos los parientes y demas personas que…</t>
  </si>
  <si>
    <t>Valder</t>
  </si>
  <si>
    <t>…el que hice reconocer por algunos prisioneros, y solo conocieron al gefe del estado mayor el coronel -Martínez, ai comanda n te de artillería teniente coronel Mon tes, al teniente coronel Valder fama á un inglés , ¿oinañdante del batallón Restaurador, á/Lecune, comandante de otro batallón. ■ ,,No puedo menos de recomendar á V. E. ál coronelD. Pedro Gonzá lez Villa, teniente coronel y comandante del batallón de Castilla', que puesto1 á su frente lo di…</t>
  </si>
  <si>
    <t>Valderábano, Tomas</t>
  </si>
  <si>
    <t>Tomas Valderábano</t>
  </si>
  <si>
    <t>…di ciones que se anunciaron en este periódico del jueves 26 de Márzo último. La per sona que quisiere hacer postura por uno., dos ó mas años acudirá al comendador procurador mayor D. Tomas Valderábano, por la secretaría de D. Rafael Martin Antón, secretario del cít-ado-hospital. ,? A instancia de la .dueña de una casa, sita en la .plazuela del Angel de estatorte, que perteneció ál concurso de í). Pedro Josef de Adame, y en virtud de. provi dencia del Sr. D…</t>
  </si>
  <si>
    <t>Valdés, Francisco Suarez</t>
  </si>
  <si>
    <t>Francisco Suarez Valdés</t>
  </si>
  <si>
    <t>…ncia y comisiones de la misma, se cita de nuevo y emplaza á todos los legata rios é interesados en las mandas y dotes asignados en la ultima disposición testamen taria del difunto D. Francisco Suarez Valdés, caballero coinendado'r que' fue de las casas de Toledo, en la orden de Calatrava, y vecino de esta corte, para que en el término de 20 días, contados desde esta publicación, se presenten á dedu¿ir sus ac ciones y derechos en legal forma en el juzgado de dich…</t>
  </si>
  <si>
    <t>Valdes, Francisco Suarez</t>
  </si>
  <si>
    <t>Francisco Suarez Valdes</t>
  </si>
  <si>
    <t>…tes en otro corral, sito en dichos barrios, y calle de la Paloma, que se hallan tasadas en la cantidad de 107556 rs. con 8 mrs. * pertenecientes uno y otro á,la- tes tamentaría de D. Francisco Suarez Valdes, vecino que fue de esta corte. El que quieb ra hacer postura á todo junto ó separadamente acuda á dicho juzgado y escribanía, que se admitirá siendo arreglada ; en la inteligencia que se halla señalado para su rema te el dia 10 del próximo mes de Diciembre, á…</t>
  </si>
  <si>
    <t>Valdés, Suarez</t>
  </si>
  <si>
    <t>Suarez Valdés</t>
  </si>
  <si>
    <t>…es y derechos en legal forma en el juzgado de dicho Sr. alcalde y citada escriba-’ nía de provincia, en donde se halla radicado el juicio universal de testamentaría del* precitado Sr. Suarez Valdés; con apercibimiento de que en su defecto les parará eL perjuicio que haya lugar. ; • ‘ Se desea saber el paradero de Josef Mathet, hijo de .Antonio y de Juana Manue la Galindo, natural del Provencio, provincia de la Mancha, su edad 12 años, pelo, y cejas cast…</t>
  </si>
  <si>
    <t>Valdivia, Josef Torres</t>
  </si>
  <si>
    <t>Josef Torres Valdivia</t>
  </si>
  <si>
    <t>…cumplió exactamente con su ministerio, auxiliando tanto á nuestras tropas como á los enemigos que pedian el socorro espiritual. ,,En clase de voluntarios me acompañaron también el capitán D. Josef Torres Valdivia y el proveedor D, Joaquín Martel, quien salió contuso de bala en una mano. „Dios guarde á V. S. muchos años. Silao Octubre 12 de 1817.= Fran cisco de Orrantía. = Sr. mariscal de campo D. Pascual de Liñan.” El Excmo. Sr. virey ha mandado dar las gracias en nom…</t>
  </si>
  <si>
    <t>Valdivia, Mamiel María de Torres</t>
  </si>
  <si>
    <t>Mamiel María de Torres Valdivia</t>
  </si>
  <si>
    <t>…uidos de Pest. ESPAÑA. / México 1° de Mayo. Continuación de los partes de 'Nueva-Espan a* SAN LUIS POTOSI. '' Parte del teniente coronel D. Gregorio de Arana al comandante general brigadier D. Mamiel María de Torres Valdivia. ' ,,Ccmo manifesté á V. S. en mi oficio num. 4 de i.° del corriente salí de este punto el di a' siguiente cón dirección á la hácienda dé lar Quemada con 159 infantes é igual número de caballería ; pero habiendo tenido repetidos avisos del comandante militar…</t>
  </si>
  <si>
    <t>Valdivia, Manuel María de Torres</t>
  </si>
  <si>
    <t>Manuel María de Torres Valdivia</t>
  </si>
  <si>
    <t>…sija de donde se sacó el vino, y tenia dentro una serpiente podrida. ESPAÑA. México 4 de Mayo. Continuación de los partes de Nueva-España. ' SAN LUIS POTOSI. El comandante general brigadier D. Manuel María de Torres Valdivia ha remitido al Excmo. Sr. virey el siguiente parte del teniente coronel JD. Gregorio de Arana. ,, Después de haber conferenciado con eí coronel D. Francisco de Orrantía, como manifesté á V. S. por mi oficio num. 14 de 18 del corriente, salí el 19 por la mañan…</t>
  </si>
  <si>
    <t>…á V. E. muchos años. Guadalupe Mayo i.° de 1818.=rExceIentísimo Sr. = Rafael Gasasola. = Excmo. Sr. virey D. Juan Ruiz de Apodaca.” SAN LUIS POTOSI. Oficio del comandante general brigadier D. Manuel María de Torres Valdivia. ,, Excmo. Sr.: Esta provincia de, mi cargo continúa leal y tranquila co mo siempre. „ Dios guarde á V. E. muchos años. San Luis Potosí Junio 16 de 1818.= Excmo. SrzzManuel María de Torres. = Excmo. Sr. virey D. Juan Ruiz de Apodaca.” VALLADOLID. Del coronel…</t>
  </si>
  <si>
    <t>Valdivielso, Jacinto</t>
  </si>
  <si>
    <t>Jacinto Valdivielso</t>
  </si>
  <si>
    <t>…igual clase D. Braulio Guaita, el subteniente D. Josef Castalia , el sargento segundo Vicente Galban y el cabo primero Josef Vázquez; y de las compañías de Carupano el subteniente D. Jacinto Valdivielso y el sargento primero Andrés Castillo. j»Lo que comunico á V. E. para su conocimiento. Dios guarde á V. E. muchos años. Güiria 28 de Agosta de 1817.= Excmo. Sr.rr Francisco Ximenez. = Excmo. Sr. general en gefe D. Pablo Morillo.”' El Rey se ha servido nombrar…</t>
  </si>
  <si>
    <t>Valdomero</t>
  </si>
  <si>
    <t>…Andrés Gallarda, cuya vecindajj se ignora. ^ - ' Y ‘ , Por providencia del Sr. D. Manuel Fernandez Gamboa, alcalde de la Real Ca sa y Corte, refrendada del escribano de provincia D. Valdomero .Moraleda, dada á instancia de la Sra. Doña María Amalia de Acosta y Ovierne, de esta vecindad, actual marquesa de Salas, y poseedora de dos de los mayorazgos fundados con apro bación del Consejo Real de S. M. de los bienes que dejó el Excmo. Sr. D. Jósef Joa…</t>
  </si>
  <si>
    <t>Valdosera, Domingo González</t>
  </si>
  <si>
    <t>Domingo González Valdosera</t>
  </si>
  <si>
    <t>…entaría de D. Manuel Calixto del Campo, se citar llama y emplaza á los demas acreedores graduados en el mismo lugar&gt; que lo son Dona Jo sefa María Rogibal, D. Francisco de Ayerbe, D. Domingo González Valdosera, ' Doña Manuela Martín Alonso, D. Manuel Rodríguez, D. Juan de las Fuentes, D. Julián de Arozarena, D. Manuel de Navacerrada, D. Lorenzo Tarsis y herma nos, D. Manuel de Iruegas, D. Josef Ignacio Gutiérrez, la casa de Iruegas y Gil, y D. Antonio Penaso, sus h…</t>
  </si>
  <si>
    <t>Valentín, Miguel</t>
  </si>
  <si>
    <t>Miguel Valentín</t>
  </si>
  <si>
    <t>…retario del rebelde Vic toria, los que reconoceré lo mas breve posible á fin de remitir á V. S. los que se hallen dignos de consideración, y acordaré con el cura de esta villa Dr. D. Miguel Valentín lo que convenga hacer con los efectos de iglesia de que trata ei referido parte. ,, Lo que participo á V. E. con remisión de dicho parte original para su superior conocimiento, y con referencia á mi extraordinario número 355 del 20 anterior, eq que transcribí…</t>
  </si>
  <si>
    <t>Valenzuela, Gerónimo</t>
  </si>
  <si>
    <t>Gerónimo Valenzuela</t>
  </si>
  <si>
    <t>…nte que los tratados de las hernias y de heri das de cabeza por. Augusto Amadeo Richter. . Cuentos pastoriles; escritos en ingles por Alejandro Pope, y traducidos del fran cés por D. Gerónimo Valenzuela, capitán del regimiento provincial de Jaén. Con tienen las estaciones del año, el poder de la música, el Mesías, la selva deWindsor &amp;c.: su estilo es sencillo y dulce; sus imágenes risueñas y agradables; sus ex presiones llenas.de gracia y de amenidad, y sus…</t>
  </si>
  <si>
    <t>Valenzuela, Pedro</t>
  </si>
  <si>
    <t>Pedro Valenzuela</t>
  </si>
  <si>
    <t>T4'o......................... . de su residencia, según de los ‘referidos áutós se 'deduce , son los que-siguen : Don Pedro Valenzuela en la Havana, D. Domingo Dettzel.cn la villa de Morson, Don Wenceslao Helm en 2a ciudad del Puerto de Sta. María, los Sres. Sam y Woll en; Augsburgo v los. Sres. Debo urge Hemiarios en París ,,D.Juan; Kladt en, Holanda* los Sres. Hermanos Duerne en Á'ugsburgo…</t>
  </si>
  <si>
    <t>Valero, Josefa</t>
  </si>
  <si>
    <t>Josefa Valero</t>
  </si>
  <si>
    <t>…. Josef Gabriel de Armijo.” Alicante /p de Setiembre. Eá esta ciudad ha ocurrido últimamente el siguiente caso de hidrofobia: el dia 14 de Agosto último un perro de lanas mordió á Doña Josefa Valero, de edad de. 56 años, y la hizo una herida en el párpado superior izquierdo, junto á la ceja. No llamó cirujano, y con ungüentos de curanderos se cica-</t>
  </si>
  <si>
    <t>…pulsación, apareció un sudor frió, y espiró dulcemente, y sin extremos, algunos minutos después de la una. Nota. Debe ser tanto mas sensible la desgracia acaecida en esta ciudad á Doña Josefa Valero, cuanto que se hubieran podido precaver los efectos de Ja hidrofobia, si á continuación de la mordedura del perro se hubiese acudido con tiempo, y llamado facultativos que la hubiesen dirigido y aplicado los remedios internos y externos que por mas de medio s…</t>
  </si>
  <si>
    <t>Valiente, Ignacio</t>
  </si>
  <si>
    <t>Ignacio Valiente</t>
  </si>
  <si>
    <t>…oronel graduado D. Cristóbal Tenorio, capitán D. Josef Polledo, teniente D. Patri cio Ange y D. Miguel Tejeiro , subtenientes D.'Juan Perez y D. Juan Josef Reviila. De la Corona : teniente D. Ignacio Valiente. De Frontera: teniente coronel graduado D. Josef María Novoa , teniente D. Josef María Gutiérrez, " . Felipe Guillen, y agregado D. Mariano Miqueley, alférez graduado d^ - .rnañ'D. Josef María Peña , poirta graduado dé teniente D. Mariano Teran, porta D, Beni…</t>
  </si>
  <si>
    <t>Valladares, Francisco</t>
  </si>
  <si>
    <t>Francisco Valladares</t>
  </si>
  <si>
    <t>…de igual clase en la colegiata de nuestra Señora de Gua dalupe de México á D. Josef María Quüez: las cánongías de idioma mexica no en la propia iglesia, á D. Estanislao Segura y á D. Francisco Valladares; y las raciones, también de idioma mexicano, á D. Dímas Maldonado y á D. Josef Alarcon: la canongía lectoral de la santa iglesia catedral de Monterey, nuevo reino de León , á D. Josef Francisco Arroyo, y á-D. Pedro Hom bre ja canongía de esta iglesia vacante…</t>
  </si>
  <si>
    <t>ValladaresBocherini, Josefa</t>
  </si>
  <si>
    <t>Josefa ValladaresBocherini</t>
  </si>
  <si>
    <t>…, 1 lamai y ¿mplará atod? s-y cualesquiera: per-: so ñas que seconsidcrén con derecho é¡as&gt; bienes'qupjhaprqrie da dp por ¡ faUecjm j eñto abintestato, causado por fin y muerte.de Doña Josefa ValladaresBocherini, que fue en la menor edad, hija de D.Modesto Valladares deSotomayor y Doña Sabina Bocherini, vecinos que fueron de esta corte , para,sque se presenten ante dicho señor juez y escribanía del infrascrito, á deducirle pop, nje.djp dp. procurador cqn suficiente p…</t>
  </si>
  <si>
    <t>Vallarino, Bernardo</t>
  </si>
  <si>
    <t>Bernardo Vallarino</t>
  </si>
  <si>
    <t>…reino de Valencia, á D. Francisco Beraza, ayudante del regimiento de ca ballería de Calatrava. En América. El gobierno militar y político de la provincia de CostaRica al teniente coronel D. Bernardo Vallarino, y la comandancia del cas tillo de Omoa al teniente coronel D. Pedro Gutiérrez, ambos en el reino de Goatemala. El día 15 del corriente saldrá de Cádiz la goleta Galga, correo de la arrtiada, con la correspondencia de oficio y pública para todos los puntos de…</t>
  </si>
  <si>
    <t>Valle, Francisco Remigio del</t>
  </si>
  <si>
    <t>Francisco Remigio del Valle</t>
  </si>
  <si>
    <t>…os con apro bación del Consejo Real de S. M. de los bienes que dejó el Excmo. Sr. D. Jósef Joaquín de Montealegre, duque de este.título, se cita, llama y emplaza en primer lugar á D. Francisco Remigio del Valle, ó quien su acción represénte , y á cual quiera otra persona que tengan en su poder ó Ies hayan sido retenidas en él Real Banco Nacional de S. Carlos acciones pertenecientes á dichos mayorazgos, como ex presamente vinculadas y afectas á ellos ,-y de que-en ti…</t>
  </si>
  <si>
    <t>Valle, Pascual</t>
  </si>
  <si>
    <t>Pascual Valle</t>
  </si>
  <si>
    <t>…ros de Estadolionora?rios D. Josef de Anduaga, caballerp grap cruz,de ja ¡de Caries -conde de Sta. Clara,, caballero gran cruz de la misma ó£d¡ep ;,y de Ja de San j Hermenegildo ; D. Pascual Valle jo, y D. Tomas £ par icíp Santí», colector ^general de Espplios y "V .acames ; los cabailerizos pnineros de S$. M¡M. y AÁ. ..marques de Sotomayor , cab^llcrogran cruz de Ja Real distinguida orden de Carlos iii; D. Raíael Pinos ; marques; de Monsalú y marques…</t>
  </si>
  <si>
    <t>Vallejo, Francisco Martínez</t>
  </si>
  <si>
    <t>Francisco Martínez Vallejo</t>
  </si>
  <si>
    <t>…haya lugar. No siendo suficiente el numero de acreedores que,concurrieron a la junta de 14 de Mayo último para resolver al repartimiento de los caudales y efectos del con curso de D. Francisco Martínez Vallejo, dei comercio que fue de esta corle, se ha mandado por el Sr. D. Vicente García Cavero, del Consejo de S. M. , su alcalde &lt;de Casa y Corte, que en el dia 15 de Julio próximo vuelvan á juntarse en la escri banía de provincia de D. Mauricio Justo del Rincón a.…</t>
  </si>
  <si>
    <t>Vallejo, Josef Mariano</t>
  </si>
  <si>
    <t>Josef Mariano Vallejo</t>
  </si>
  <si>
    <t>…que desempéñenme* jor el egercicio de oposición, examinándose de las materias enseñadas en el presente curso, serán premiados con el tratado elemental de matemáticas es crito por D. Josef Mariano Vallejo. Al mas sobresaliente de ellos se le dan* ademas una medalla de plata de primera clase. 2.0 Y los tres que sigan á estos en mérito con la obra elemental de Don Juan Justo García. 3.0 El .tratado de aritmética y geometría práctica escrito para la Réaj academia…</t>
  </si>
  <si>
    <t>Vallejo, Mariano</t>
  </si>
  <si>
    <t>Mariano Vallejo</t>
  </si>
  <si>
    <t>…y Fleuri, á leer en prosa y en verso- por el;método práctico de D. Vi-, cente Naharro, á escribir por el del ExcmQ. Sr. D. Josef de Anduaga , las cinco reglas de la aritmética de D. Mariano Vallejo, la gramática y ortogra fía --porciav,4é ja Real academia, y las reglas ¿^ urbanidad y política. por el cjífcjsmQ Cdel T-.S^níiage Delgado, ¿ c&amp;áqtp»meses ó sean fcñós-se necesitan para que salga ya educado este niño....? t &gt; c i; .«el término señalado, se pr…</t>
  </si>
  <si>
    <t>Valles, Francisco</t>
  </si>
  <si>
    <t>Francisco Valles</t>
  </si>
  <si>
    <t>Diego de Saavedra Fajardo , y T&gt;. Alvaro Navía Osorio*. 7.0 D. Luís de Requesens, D. Bartolomé Leonardo de Argensola, D. Francisco Valles, D. Juan de Ribera, D. Juan de Palafox y Mendoza, y el Mtro. Fr. Luis Ponce de León: B.° D. Diego Mesía y Gueman , el Mtro. Juan de Avila, el P. Fr. Josef de Sígiienza, D. Diego Covarrubias y Leiva, Juan lírbina, y el P. Q. Tomas Vicente Tosca. (Se continuará…</t>
  </si>
  <si>
    <t>Valverdet, Aniceto</t>
  </si>
  <si>
    <t>Aniceto Valverdet</t>
  </si>
  <si>
    <t>…Don Francisco González Palma: el capitán del Real cuerpo de ingenieros Don Francisco Alvarez: los capitanes D. Camilo Acuña, D. Manuel Unzueta y D. F rancisco Despot: el ayudante D. Aniceto Valverdet los tenientes Don Juan Ruiz Ordoñez., D. Vicente González y D. Antonio Henriquez: los sub tenientes D. Diego Duran, D. Vicente Benavides y D. Tomas Calvo: el ca pitán D. Manuel Pinuer; y el subteniente D. Josef Ugarte. ,,Ultimamente concluyo con demostrar el…</t>
  </si>
  <si>
    <t>Van-Berchem</t>
  </si>
  <si>
    <t>62</t>
  </si>
  <si>
    <t>62 Las pretensiones de los suizos en orden á sus reclamaciones contra el mis mo Monte no están arregladas todavía. El teniente coronel Van-Berchem, de Génova, ha ido á Turiñ, y de allí pasará á Viena para hacer valer sus pre tensiones, á fin de verificar lo mas pronto posible una liquidación definitiva* El Gobierno directorial de la Suiza apoya con energía sus pretensiones. SUIZA. Xurich jrp de Diciembr…</t>
  </si>
  <si>
    <t>Varas, Antonio de</t>
  </si>
  <si>
    <t>Antonio de Varas</t>
  </si>
  <si>
    <t>…rice-protector y Sres. consiliarios de los tres Reales estu dios , y otros individuos y profesores de la Academia. Entró S. M. primero en la sala de matemáticas, donde el director D. Antonio de Varas, después de un enérgico y elegante discurso sobre la utilidad de estas ciencias, y de los progresos que debían prometerse siendo protegidas de un Soberano tan amante de sus pueblos, dispuso que varios discípulos alternativamente diesen pruebas de su aplicació…</t>
  </si>
  <si>
    <t>Varela, Rafael Antonio</t>
  </si>
  <si>
    <t>Rafael Antonio Varela</t>
  </si>
  <si>
    <t>…. Los pretendientes, que deberán ser aprobados de maestros por la Real aca demia latina matritense, dirigirán sus memoriales al ilustre ayuntamiento de dicha villa por medio de su secretario D. Rafael Antonio Varela hasta fin de Abril de este año, debiendo empezar las oposiciones en principio de Mayo. Febrero adicionado, ó librería de escribanos: instrucción teórico-práctica en 7 tomos en 4.0: séptima edición; corregido en esta impresión, y notablemente mejo rado con muc…</t>
  </si>
  <si>
    <t>Vargas, Josef</t>
  </si>
  <si>
    <t>Josef Vargas</t>
  </si>
  <si>
    <t>…struidos. . Conforme con el general juicio del auditorio el dictamen de los maestros censores, declaró dignos de premio á iodos los examinados, y en su conse cuencia el corregidor D. Josef Vargas, alcalde honorario del crimen de Valladolid, repartió medallas dé plata con el escudo de armas de S. Francisco, eñ cbyo’ contorno se leía i.Escuela caritativa de S, Francisco de Segovia, y en el reverso ¿orleado de ramos de palma y laurel enlazados Premio de…</t>
  </si>
  <si>
    <t>Vargas, Josef María</t>
  </si>
  <si>
    <t>Josef María Vargas</t>
  </si>
  <si>
    <t>…a mandado que al coronel D. Luis Quintanar se le den las gracias á nombre del Rey nuestro Señor por su actividad y acertadas disposiciones; y ha concedido al. capitán dé realistas D. Josef María Vargas, en premio de su valor y sagacidad, el grado de teniente coronel en su clase, dando á este gefe y á los demas que concurrieron á dicha empresa, un escudo ue distinción que llevarán al brazo izquierdo con el lema: Por la jornada de Tárate. También ha dispuesto…</t>
  </si>
  <si>
    <t>…to Vargas en su tránsito. „ Repito á V. E. la misma recomendación que tuve el honor de hacerle en ¡mi citado oficio de i.° del corriente á favor del coronel D: Luis Quintánár,:del capitán D. Josef María Vargas y de los 60 individuos que le acom pañaron, con el fin de que V. E. se sirva premiarlos del modo que consi dere justo. . . ,,Dios guardé á V. E. muchos años. Guadalajara Marzo 15 de 1818. =r Excmo. Sr. = Josef de la Cruz. = Excmo. Sr. virey D. Juan Ruiz de Ap…</t>
  </si>
  <si>
    <t>Várgas, Tosef María</t>
  </si>
  <si>
    <t>Tosef María Várgas</t>
  </si>
  <si>
    <t>…ollado el cor reo que le traía. según di parte á la superioridad de V; E. en mi oficio de % del corriente desde el campo de Tlachichilco) de la expedición del capitán de realistas D. Tosef María Várgas á Záfate á aprehender ai Dr. Sanmartín, •egun participé á V. E. por mi oficia de i.° del corriente.</t>
  </si>
  <si>
    <t>Vargas, Vicente</t>
  </si>
  <si>
    <t>Vicente Vargas</t>
  </si>
  <si>
    <t>….=Exce lentísimo Sr.=Nicolás Gutiérrez. = Excmo. Sr. virey D. Júan Ruiz de Apodaca.” Lista que cita el aparte anterior de los presentados á indulto con Vargas en lolúca. ' ‘ ‘ ' . D. Vicente Vargas, titulado brigadier ; D. Eugenio Montesdeoca , id. sargento mayor. Infantería, D. Josef María Sosa, id. capitán; D. Miguel Loranca, id. teniente ayudante; D. Mariano Astorga/ ¡di id.; D. Narciso Ríos , id. id.; Miguel Somoza, sargento primero; Josef María Var…</t>
  </si>
  <si>
    <t>Vasallo, Rodulfo</t>
  </si>
  <si>
    <t>Rodulfo Vasallo</t>
  </si>
  <si>
    <t>…Francisco Espelosin 10, D. Miguel Portillo 5 , Don Juan: Hernández 6 , D. Josef Baez 2 , D. Josef Arrese 4, D. Francisco-Ruz 1, D. Josef Manuel Chirinos 4 , D. Gerónimo Losada 3 , D. Rodulfo Vasallo iD. Tomas Pónce 4 reales¿ D. Juan Campos 2 pesos, D. Juan Insua 2 , Don Francisco Rodríguez Mesa 2 * Sres. Perez y Chaves 4, D. Ramón Gutiér rez 6, D. Feliciano Borges 4, D. Josef Hernández Horta 4 , D. Matías Cas tro 4, D. Juan V ícente Perez 2, D. Antonio G…</t>
  </si>
  <si>
    <t>Vázquez</t>
  </si>
  <si>
    <t>…an de las garras de los enemigos, como en efecto se verificó; pues parte de mi tropa, al mando del capitán Peredo, sostenía á los que buscaban asilo : asi logrp dicho capitán y el teniente Vázquez con D. Ignacio Basadré reunir la mayor parte de los dragones , ayudando con valentía el distinguido D. Josef Pruna , á quien á su petición le di un fusil para el efectos „ A las 5 de la mañana se empeñaba Mina y sus secuaces en su fuego* apoderándose de las c…</t>
  </si>
  <si>
    <t>…spues de un continuado trabajo, sin descansar ni de di a ni de noche, la sorprendí el 12 á las 11 del día eñ el parage de Dolores, é hice prisione ro al mismo rebelde, al titulado coronel Vázquez, al padre Talzvera y otros: les cogí los cañones, fusiles , municiones, monturas y remonta, cuyo detall elevaré al superior conocimiento de V. E., no habiendo con anticipación dado-esta noticia á esa superioridad, porque desde mi salida de este pueb.í'p pora…</t>
  </si>
  <si>
    <t>Vázquez, Antonio</t>
  </si>
  <si>
    <t>Antonio Vázquez</t>
  </si>
  <si>
    <t>…star ya V. 5. bastante herido se mantenía constante hasta ver el fin que habian tenido los dragones de Nueva-Galicia; pero á la sazón se presentaron el capitán Don Juan Peredo, el teniente D. Antonio Vázquez y el cadete D. Ignacio Basadre pidiéndome tropa para por las azoteas proteger á los dragones que se escapaban de las garras de los enemigos, como en efecto se verificó; pues parte de mi tropa, al mando del capitán Peredo, sostenía á los que buscaban asilo : a…</t>
  </si>
  <si>
    <t>Vázquez, Francisco</t>
  </si>
  <si>
    <t>Francisco Vázquez</t>
  </si>
  <si>
    <t>…n 8.° Vénde se en el despacho de la imprenta Real, á 32 rs. en rústica y 34 en pasta. Sermones sobre las verdades mas importantes de la religión, traducidos del fran cés por el P. D. Francisco Vázquez, clérigo reglar de S, Cayetano &amp;c. Aunque las verdades de la reljgion son inalterables, las trata el autor en estos sermones con.cier ta novedad, que contribuye :múchó á sósténer la atención del auditorio. Tienen to das las cualidades, reglas y caracteres que…</t>
  </si>
  <si>
    <t>Vázquez, Josef</t>
  </si>
  <si>
    <t>Josef Vázquez</t>
  </si>
  <si>
    <t>…iaz del Campo, ,, Al amanecer de este dia destaqué una partida de 70 dragones de Espa ña y Querétaro al mando del teniente graduado de Zamora D.: Francisco Sanz, con los oficiales teniente D. Josef Vázquez y alférez D. Andrés Mon tero, de España, y los cadetes de Querétaro D. Juan de Dios de Escovedo y D. Manuel de Alday, con el objeto de que reuniesen la gente del Capulín, Sta. Ana y rancherías para violentar la fortificación de este punto tan intere sante al…</t>
  </si>
  <si>
    <t>Vázquez, Lorenzo</t>
  </si>
  <si>
    <t>Lorenzo Vázquez</t>
  </si>
  <si>
    <t>…0 se me presentó en este destacamento D.. Mariano Rodríguez, que se titulaba administrador y juez de seguridad de Sultepec, los capitanes Pe dro González y Francisco Simón, con el sargento Lorenzo Vázquez y el fa bricante de pólvora Mariano Armas, como igualmente 300 individuos de di ferentes pueblos y ranchos de la.-demarcación.... ■ .1</t>
  </si>
  <si>
    <t>Vázquez, Manuel</t>
  </si>
  <si>
    <t>Manuel Vázquez</t>
  </si>
  <si>
    <t>4*2 nominan Valdesendcriíi, de caber siete fanegas» linde á oriente con tierra de An gela Ruiz, al mediodía con otra de D. Manuel Vázquez, al norte con camino, que dé dicho lugar guia á dicho sitio, tasada en 2100 rs. vn.: otra en dicho termi no donde dicen la Legua, de. caber tres fanegas, linde por oriente con tierra del convento de monjas franciscas de Constantinopla de esta corte, al ponien…</t>
  </si>
  <si>
    <t>Vázquez, Martin Santin y</t>
  </si>
  <si>
    <t>Martin Santin y Vázquez</t>
  </si>
  <si>
    <t>?5« .. .. de S. M., feníente corregidor de esta fnuy heroica Villa, refrendada por D. Martin Santin y Vázquez, escribano de su número, se cita, ,’liama y emplaza.á todos los acreedores á los bienes dimitidos por D. Francisco de las Barcenas, dé esta vecin dad , para que dentro de 15 dias, primeros jsigu»ent£s al de este anuncio, que por primer término se les señalan,…</t>
  </si>
  <si>
    <t>Vázquez, Pedro</t>
  </si>
  <si>
    <t>Pedro Vázquez</t>
  </si>
  <si>
    <t>…hirinos , á quien ya tenia prevenido de antemano!, don 46 infantes de los que yo traía, para que dejándolos de guarnición'; en Tan tima' á las órdenes del subteniente de Ja cuarta D. Pedro Vázquez, regresase ayer con la fuerza que alli estaba, la que unida á la de este , donde he quedado con mi resto y algunos enfermos de la segunda , pudiese emprender hoy: su salida, como lo ha verificado con 122 hombres, y órden'du;ique se presente) a ?V¿ i S-en-ese…</t>
  </si>
  <si>
    <t>Vega, Blas</t>
  </si>
  <si>
    <t>Blas Vega</t>
  </si>
  <si>
    <t>…errilla de caballería enemiga se dirigía hacia el hato Algarrobo. Esta noche dispuse que antes de amanecer el dia 3 marchara para dicho hato el teniente del regimiento de Castilla D. Blas Vega, con 30 hombres de su cuerpo, 10 de la compañía de mi mando y 30 de caballería, para reconocer las fuerzas del enemigo, y que me avisasen en caso que fue ra necesario para marchar yo con la demas tropa; pero habiendo llegado dicho Vega al sitio del Algarrobo…</t>
  </si>
  <si>
    <t>Veíasco, Valentín Zorrilla de</t>
  </si>
  <si>
    <t>Valentín Zorrilla de Veíasco</t>
  </si>
  <si>
    <t>…ero tuvieron la honra de presentarse á S. M. y besar so Real mano los canónigos comisionados por el limo, cabildo de la metropo litana iglesia de Valencia D. Josef María Despujol, D. Valentín Zorrilla de Veíasco y D. Luis Exarque, con motivo de dar gracias por el restableci miento del tribunal de Contenciones en aquella ciudad; y el primero dijo: ,,Señor: Si otra vez como natural del principado de Cataluña tuve la gloria de manifestar á V. M. los sentimientos mas sinceros de gratitud…</t>
  </si>
  <si>
    <t>Vela, Sebastian Eugenio</t>
  </si>
  <si>
    <t>Sebastian Eugenio Vela</t>
  </si>
  <si>
    <t>…ecimiento de la sociedad hasta el dia se habían adjudicado á los discípulos de la escuela de taquigrafía, los cuales los recibieron de mano del subdirector. ~ r ■ ; Concluido esto D. Sebastian Eugenio Vela, que fue el que obtuvo el pri mer premio el año 1814, dio en nombre de todos los premiados las gracias á la sociedad y al profesor, después de lo cual los discípulos que acababan de ser examinados leyeron algunas poesías alusivas al mismo objeto ; y el sub di…</t>
  </si>
  <si>
    <t>Velasco, Evaristo</t>
  </si>
  <si>
    <t>Evaristo Velasco</t>
  </si>
  <si>
    <t>…a villa: su dotación anual es de 89 rs., pagados en tres tercios por el tesorero de la misma. Los pretendientes dirigirán sus memoriales al escribano de ayuntamiento, que se llama D. Evaristo Velasco. En la villa de Lumbreras y sus tres aldeas de S. Andrés, Pajares y el Horcajo, distante la que mas media legua, .se halla vacante el partido de médico titular, coi», obligación de visitar en dicha villa, su barrio del Hoyo y venta de Piqueras: su dotación so…</t>
  </si>
  <si>
    <t>Velásco, Francisco</t>
  </si>
  <si>
    <t>Francisco Velásco</t>
  </si>
  <si>
    <t>…or bizarría, hasta que.cargándole una&gt; fuerte columna enemiga le obligó á, reunirse á la que despaché por la derecha; á las, órdenes del subteniente de cazadores del i.° americano D. Francisco Velásco, y en unión la rechazaron hasta obligar á este grupo de chusma á. retirarse, y reunirse.á los que por retaguardia atacaban ya á nuestra caballería; ,,A la sazón me hallaba con la tropa de mi cargo bastante internado en. el bosque, y habiendo recibido .este av…</t>
  </si>
  <si>
    <t>Velasco, Joaquín Rujz de Molina y</t>
  </si>
  <si>
    <t>Joaquín Rujz de Molina y Velasco</t>
  </si>
  <si>
    <t>…justicia de la ciudad de Molina y su Real señorío, y escribanía de D. Mateo Nicolás Sanz Tellez, se está siguiendo concurso de acreedores á los bie nes que quedaron por muerte del Sr. D. Joaquín Rujz de Molina y Velasco, mar ques de Embid; y sin embargo de haber citado por edictos con el término ordinario á los que presumiesen tener derecho á dichos bienes, no ha surtido efecto; y á fin de evitar toda nulidad en este concurso y otros motivos de recursos» se cita nuevamen te…</t>
  </si>
  <si>
    <t>Velasco, Josef de</t>
  </si>
  <si>
    <t>Josef de Velasco</t>
  </si>
  <si>
    <t>…sargento mayor del campo D. Josef dé Vélasco; y el tercero por el .teniente coronel D. Henrique Ballesteros, espitan del batallón ligero prime ro de Cataluña, siendo ayudante del coronel D. Josef de Velasco el capitán graduado D. Agustín Cabrera, teniente del regimiento infantería 4e Galicia. : Otra. De la tropa que resulta disponible á los regimientos; de Galicia, CataluñaEspaña, Valencia, escuadrón dé Santiago, y el de voluntarios de España, que son los cuerpo…</t>
  </si>
  <si>
    <t>Velasco, Josef Valdés y</t>
  </si>
  <si>
    <t>Josef Valdés y Velasco</t>
  </si>
  <si>
    <t>…ntre de la misma: la dignidad de tesorero de? la santa iglesia catedral de Arequipa, vacante por muerte de D. Juan de Unzas , á D. Juan de Dios Bülnes: la canongía que este deja á D. Josef Valdés y Velasco; y la ración que resulta vacante á D. Josef de Novoa y Parga: últimamente la ración que ha quedado vacante en la santa iglesia catedral de Durango- por fa llecimiento de D. Francisco de Paula Balda á D. Pedro Míllan Rodríguez. También se ha dignado S. M. conc…</t>
  </si>
  <si>
    <t>Velasco, Manuel de</t>
  </si>
  <si>
    <t>Manuel de Velasco</t>
  </si>
  <si>
    <t>…al á restituir con las descubiertas Ja falta que se notó, es la voluntad de S. M., conforme á lo que han solicitado en Ja representación de avenencia , que el ingeniero hidráulico D. Manuel de Velasco pase á la citada villa de Yecla á designar, bajo aquella primera medida, el mqdo, lugar y forma en que debe quedar asegurada para lo sucesivo la expresada restitución; y conciliapdo los derechos de unos y otros, dé á la obra en beneficio de ía* compañía de la…</t>
  </si>
  <si>
    <t>…s casas de habitación, valuado todo en 758561 rs. de vn. Su primer remate debe celebrarse en el dia 25 de Noviembre próximo; en la Secretaría de la misma provincia á presencia del Sr. D. Manuel de Velasco,* su intendente actual, y del Sr. D. Josef Costas Saldaña, comisionados al efec to: quien quisiere hacer postura acudirá con anticipación á practicar la que le conviniere, y se recibirá siendo arreglada; en el concepto de que el remate y posturas se egecutará…</t>
  </si>
  <si>
    <t>Velasco, Manuel María Ruiz de</t>
  </si>
  <si>
    <t>Manuel María Ruiz de Velasco</t>
  </si>
  <si>
    <t>…lgunos vecinos de ésta villa; ¿elosos del bien público y del fomento de la escuela.;__Todos los concurren tes dieron las. mas expresivas gracias á los beneméritos y dignos maestro Don Manuel María Ruiz de Velasco y pasante D. Segundo Lujan, y el alcaldé mayor, presidente del acto, dio fin al acto exhortándoles á qué continuasen en su laboriosidad y útiles tareas; y para darles una prueba nada equívoca dé la alta consideración que le hábia merecido el precioso fruto de…</t>
  </si>
  <si>
    <t>Velasco, Rafael Ximenez de</t>
  </si>
  <si>
    <t>Rafael Ximenez de Velasco</t>
  </si>
  <si>
    <t>…,: para sí y sus sucesores perr petuamente, en consideración á la distinguida nobleza y servicios de ambas familias. . El Rey nuestrorSeñoc sé ha servido conceder su ReaFpermiso á D. Rafael Ximenez de Velasco, condecorado con la cruz de distinción concedida por S. M. á io£ que contrajeron'distinguido mérito y fidelidad, para que pueda usar la condecoración de la flor de Lis con que S. M. Cristianísima se ha servida agraciarle. . ^ ^ D. Francisco de Sayús, vecino d…</t>
  </si>
  <si>
    <t>Velaz, Marcos</t>
  </si>
  <si>
    <t>Marcos Velaz</t>
  </si>
  <si>
    <t>…s D. Domingo Muguerza, D. Josef Id ion da, D. Francisco Goñi, D. Xavier Sanz López y Don Benito Munduate. Ultimamente en la clase de humanidades ó retorica logró el primer pre mio D. Marcos Velaz; y el segundo D. Romualdo Sasa, siendo merirorios D. Fausto Oráyen, D. Antonio Sanz López y D. Mariano Ciá. En el dia 14 se repartieron los premios, que consistían en libros y me dallas de plata, á presencia del ayuntamiento, de la junta de estudios y es cuel…</t>
  </si>
  <si>
    <t>Velazquez, Josef María</t>
  </si>
  <si>
    <t>Josef María Velazquez</t>
  </si>
  <si>
    <t>…María Escarnida,. Carpió: Ayala, Justo Ayala y Luis'VeíáscoyJóítef María Avila, Germán Jardon y Josef María Rosales: son 53. Caballería. D. Josef María Rosas, titulado .capitán ; D. Josef María Velazquez, id.; D* Teadosio Rubí, id.; D. Cristóbal:Escalante^i id;;rp. Josfef Mamr Mén dez , id. teniente; Andrés Bernal, sargento; .Josef iMaríaVNava y/íd. /Anto^ nio Iturbe, id.; Marcelo; Camacho,vid. ;i Josef: Esquive!^ JóséfMarít .González, rdv; Vicente: Medina; c…</t>
  </si>
  <si>
    <t>Velazquez, Manuel</t>
  </si>
  <si>
    <t>Manuel Velazquez</t>
  </si>
  <si>
    <t>14o la Via y D. Josef Cólomer, el abanderado D. Pedro Campománes y ios subtenientes D. Antonio Villalba y D. Rafael Villavicencio, heridos de gra vedad: el capitán D. Manuel Velazquez , los tenientes D. Juan Sorelo, Don Juan Gómez, D. Josef Segador, D. Josef Elua y D. Manuel Martin Alvarez, y los subtenientes D. Tiburcio de Cañas, D. Antonio Tuya, D. Ma nuel Sánchez Trívino y D, Martin de Santiestéban, heridos. Dragones de S. Luis: el capi…</t>
  </si>
  <si>
    <t>…astasio Bustamante, D. Cristóbal Víllaseñor y D. Josef María Novoa; y para la de los demas pongo á continuación sus nombres y cuerpos á que pertenecen. ,,Del batallón de Zaragoza: capitán D. Manuel Velazquez , tenientes Don Josef Colomer y D. Pedro Salvador de Pazos, subtenientes D. Manuel San* chezTreviño y D. Justo Zaldivar. Del primero Americano: teniente coronel graduado D. Cristóbal Tenorio, capitán D. Josef Polledo, teniente D. Patri cio Ange y D. Miguel Te…</t>
  </si>
  <si>
    <t>…los insurgentes que encontraban en su rápida marcha hasta llegar al Tepeyac, adonde á prevención mandé yo al instante que pasase á ocuparlo el ca pitán del regimiento de Zaragoza D. Manuel Velazquez con 50- hombres de este cuerpo, por si el enemigo, no pudiendo desalojar en su fuga á nuestros valientes , tratase de volver á posesionarse de su fortaleza , como en efecto se dio por orden en su columna cuando fueron vigorosamente rechazados en fa primera ca…</t>
  </si>
  <si>
    <t>…ue pásase sin demora á Casas Viejas, y me avisase luego de su llegada. Sánchez llegó:'á aquel punto en la mañana del 31, y avisándome el mismo día dispuse que el teniente co ronel D. Manuel Velazquez saliese de aqui á las ocho de la noche con 50 in fantes de Zaragoza y 100 caballos de los cuerpos de España, Queretaro y Sierragorda, no haciéndolo yo porque me hallaba actualmente en la cama de un fuerte dolor que me había acometido, con orden de1 que amanec…</t>
  </si>
  <si>
    <t>. # 1293 marchase , reunidos los 100 hombres del capítan D. Epítacío Sánchez, para ía hacienda de Charcas en persecución de la reunión. ,,El teniente coronel D. Manuel Velazquez cumplió mis instrucciones con tarita eficacia como verá V. S. por el parte de este gefe, que original acom paño, por el que se instruirá que la reunión ha sido batida y destrozada completamente. &gt; ,, Luego que me restablezca, y que el regreso de la tropa que…</t>
  </si>
  <si>
    <t>Velazquez, Rosa</t>
  </si>
  <si>
    <t>Rosa Velazquez</t>
  </si>
  <si>
    <t>…Joaquín de Valdearenas, D. Josef Valero Espinosa , natural de Moneada, en el reino de Valencia, D. Antonio Carrasco, de Gén.ova, D. Rafael Correa, Joa quín Rodríguez, de Asturias, Doña Rosa Velazquez, Doña Teresa González, de Valladolidi Antonia Carreras, de Valdemoro, y D. Francisco Vigil, del reino de Francia, y sus sucesores, como legatarios de los Éxcmos. Sres. D. Francisco de Pau la y la Cerda, y Doña María Vicenta de Osorio y Moscoso, su muger, cond…</t>
  </si>
  <si>
    <t>Velazquez, Serafín</t>
  </si>
  <si>
    <t>Serafín Velazquez</t>
  </si>
  <si>
    <t>…Villafranca del Vierzo á D. Josef García Alfonso, alcalde mayor de Villablino: para la de Torres á D. Leonardo de Veyan y Lartigaj y para la de Alcalá de los Gazules en comisión á D. Serafín Velazquez. El Rey nuestro Señor &gt; á consulta del Real Consejo ) se ha servido con-</t>
  </si>
  <si>
    <t>Venancio</t>
  </si>
  <si>
    <t>…, también por doctrinará D. Tomás Bueno por leer; á D. Juan Arenaxa por escribir; á D. Pablo de Argote por aritmética; á D. Julián Gamarra por ortografía y gramática castellana; á D. Venancio de $agarnaga y Don Faustino ae Ampuaia por buena conducta; á D. Josef de Puente en la clase de menores y demas rudimentos; á D. Juan Guzman en la de medianos, y á Don Liborio ae Otazu, por haber salido en suerte con otros, por la aplicación y Jbuena conducta,…</t>
  </si>
  <si>
    <t>Ventosa, Tomas</t>
  </si>
  <si>
    <t>Tomas Ventosa</t>
  </si>
  <si>
    <t>…a que se presenta casi nueva á la faz de la re pública literaria. Se hallará en la librería de la viuda de Qairoga, calle de Carretas. Elementos de fisiología puestos en orden por D. Tomas Ventosa : esta obra es un extracto simple y metódico de la parte de las instituciones médicas de que trata; com prende las doctrinas mas exactas:, no está sujeta á ningún sistema particular: es una verdadera obra elemental que, reúne todas las circunstancias de que d…</t>
  </si>
  <si>
    <t>Vera</t>
  </si>
  <si>
    <t>…nce por la ventaja que tomaron en su fuga, y por la aspereza de aquel terreno. A mi Tegreso para unirme con la infantería recogí algún ganado; y al bajar la altura me dio parte el teniente Vera de que se hallaban los rebel des por el rumbo de Guapango, de los que efectivamente descubrí mayor número que ios primeros; y dejando el ganado á los infantes, marché á su persecución , sucediendo lo mismo que la primera vez , pues á la legua y me dia de esta…</t>
  </si>
  <si>
    <t>Vera, Valentín</t>
  </si>
  <si>
    <t>Valentín Vera</t>
  </si>
  <si>
    <t>…e Larragoiti. ,,.Excmo. Sr.: Paso á las superiores manos de V-E. por principal el parte que el comandante del destacamento de S. Josef, teniente del batallón infante ría de Celaya D. Valentín Vera, me da con fecha 7 del actual, consecuente á la aprehensión del titulado capitán Albino Rojas, con otros 6 rebeldes, en la hacienda de Sta. María, 2 fusiles, 3 machetes y 8 caballos, cuya gavilla tran sitaba en las inmediaciones de los destacamentos al norte…</t>
  </si>
  <si>
    <t>Verastegui, Pablo</t>
  </si>
  <si>
    <t>Pablo Verastegui</t>
  </si>
  <si>
    <t>…míos ni los de los oficiales de mi plana mayor, que rne acompañaron al efecto, á excepción de 25 urbanos del es cuadrón de S. Diego, que á las órdenes de su comandante el teniente coronel D. Pablo Verastegui permanecieron firmes con su gefe y un capitán en la ca ballería de la derecha, cuya diferencia debe atribuirse recomendablemente al buen egemplo de estos dos oficiales, y los distingo por lo mismo ante V. E. de la demas tropa de la comandancia de Rioverde- Un…</t>
  </si>
  <si>
    <t>Vergara, Francisco Ruiz de</t>
  </si>
  <si>
    <t>Francisco Ruiz de Vergara</t>
  </si>
  <si>
    <t>…de Castro, se cita, llama y em plaza por término primero y último de 30 dias , contados desde su publicación en Iá gaceta, á los interesados en las memorias fundadas por el limo. Sr. D. Francisco Ruiz de Vergara, para que dentro de él, y con los documentos justificativos, concurran ¿ percibir las cantidades que les ha cabido en el prorateo egecutado en 10 de Noviem bre ultimo; con apercibimiento que no compareciendo se les dará el destino corres pondiente, con arregl…</t>
  </si>
  <si>
    <t>Vergara, Vicente María de</t>
  </si>
  <si>
    <t>Vicente María de Vergara</t>
  </si>
  <si>
    <t>…señor marques de Viiiores, teniendo á su derecha al Exento, $r. D. Francis co Xavier Elfo, capitán general de este egército y reino, y se dio principio por un discurso que leyó el secretario D. Vicente María de Vergara, mani festando cuan agradable ha sido para el cuerpo en el año social que concluía, y lo será en el que va á comenzar, el emplearse en promover los objetos que forman su instituto patriótico. A continuación el vice- censor D. Pascual Salvachuna leyó el extrac…</t>
  </si>
  <si>
    <t>…de Villores, su vice-director, teniendo á su derecha al Excmo. Sr. D. Francisco Xavier Elío, capitán general de este egército y reino. Se dio principio por un discurso que dijo el secretario Don Vicente María de Vergara, en el cual procuró manifestar que para que pro grese la industria, y sus obras se perfeccionen se la debe auxiliar con los co nocimientos de dibujo, geometría , química y demas ciencias naturales. A con tinuación leyó el extracto de las actas del cuerpo desd…</t>
  </si>
  <si>
    <t>Verges, Bruno</t>
  </si>
  <si>
    <t>Bruno Verges</t>
  </si>
  <si>
    <t>…ar, agente de negocios, y apoderado de dicho ca* bildo, que vive calle de los Angeles, nu n. i.°, cuarto segundo. Teniendo que tratar asuntos de alguna consideración con los Sres. D. Bruno Verges y D. Blas Tabiel'Andrade, vecinos que fueron de esta corte, con* su; hijos ó he rederos, podrán acudir los que existan al comisario honorario de Guerra D. Manuel de Queyedo Bustamante, plazuela del Angel, niim 19, cuarto segundo. El consulado de la.villa de Bilbao ha establecido con…</t>
  </si>
  <si>
    <t>Verling</t>
  </si>
  <si>
    <t>…n en lugar ael primero: no le volvió á hablar el gobernador sobre esté punto, y cuando aquel fépitió sos quejas/porque le faltaba la asistencia de un facultativo, se le propuso al doctor Verling, cirujano mayor de la artillería Real, sugeto hábil, é incapaz de faltar á sus obligaciones: al cabo se redujo él prisionero á admitir sus visitas * yesel único de los habitantes que podrá ver le en lo sucesivo. Se habia publicado en la isla últimamente otra…</t>
  </si>
  <si>
    <t>Vi</t>
  </si>
  <si>
    <t>…to se anuncié por la gaceta y diario de esta capital, para que en el término de dos meses acudan dichas interesaalas por si ó por medio de apoderados á la secretaría del cargo del Sr. D. Vi cente María de Arauna á dar razón de su existencia; en inteligencia de que no haciéndolo, se procederá á lo que haya lugar. &gt; En virtud de providencia del Sr. D. Manuel Fernandez Gamboa , del Consejo de S. M., alcalde de su Real Casa y Corte, de 24 del pasado…</t>
  </si>
  <si>
    <t>Vi-</t>
  </si>
  <si>
    <t>…asistencia y, mediana aplicación, al cual se le ha de. enseñar la, doctrina cristiana por los catecismos de Ripalda y Fleuri, á leer en prosa y en verso- por el;método práctico de D. Vi-, cente Naharro, á escribir por el del ExcmQ. Sr. D. Josef de Anduaga , las cinco reglas de la aritmética de D. Mariano Vallejo, la gramática y ortogra fía --porciav,4é ja Real academia, y las reglas ¿^ urbanidad y política. por el cjífcjsmQ Cdel T-.S^níiage D…</t>
  </si>
  <si>
    <t>…altar, en atención al amor y lealtad que ha acreditado tener á su Real Persona y á la augusta casa de los Borbones. * El Rey nuestro Señor se há servido conceder su Real permiso á D. Vi-* cente Rocafuerte, vecino de la ciudad de Guayaquil, para que pueda' usar de la condecoración de la cruz de caballero de la Espuela de oro y del Mé rito conque le ha agraciado su Santidad. El Consejo de Castilla, á consulta con S. , se ha servido conceder far…</t>
  </si>
  <si>
    <t>Via, Lorenzo</t>
  </si>
  <si>
    <t>Lorenzo Via</t>
  </si>
  <si>
    <t>…las de la aritméti ca , y fra aciones comunes y decimales, D. Josef Alegret: Sobre las razones, proporciones y teoremas de ellas. El capitán graduado del regimiento de Guadalajara D. Lorenzo Via: So bre la regla de tres, y aplicaciones de ella á la de intereses, compañía, regla conjunta, aligaciones, y composición de razones, D, Mariano Enrich: Sobre la elevación de potencias, extracción de raíces y progresiones. El profesor Real de primera educación…</t>
  </si>
  <si>
    <t>• . 199 En el tercero y último día el expresado Excmo. Sr. capitán general se dignó también honrar el certamen presidiendo á la Real academia; y empezó el alumno D. Lorenzo Via disertando sobre los sólidos, individualizando su for mación , magnitud y razón. D. Mariano Enrich: Sobre la cuadratura del círculo. D. Josef Alegret: Sobre trigonometría esférica. D. Narciso Albrador: De las secciones cónicas, la parábola. D. Salvador Ros: S…</t>
  </si>
  <si>
    <t>Víala, Cristóbal Perez de</t>
  </si>
  <si>
    <t>Cristóbal Perez de Víala</t>
  </si>
  <si>
    <t>…naristas y discípulos de dichas escuelas, bajo la dirección de su maestro el P. Joaquín Fálcete de Sta. Lucía, la que se sirvió honrar con su presencia el limo* Sr. obispo de Jaca D. Cristóbal Perez de Víala. Díq principio á dicha función, P* Ro drigo López de Artieda con.uu endecasílabo, á que se siguió un discurso latino contra el infeliz éxito de los Impíos en la guerra pasada, que pronunció el seminarista D. Salvador Sola. Tras de esto tradujeron los autores…</t>
  </si>
  <si>
    <t>Viana, Melchor de Vergara y</t>
  </si>
  <si>
    <t>Melchor de Vergara y Viana</t>
  </si>
  <si>
    <t>…dejó el Excmo. Sr. D. Diego Antonio Felicio de Lacroix, Peralta y Velasco, marques de Falces, conde de Santistéban, para los hijos legítimos y descen dientes varones y hembras de D. Melchor de Vergara y Viana, por el testamento que otorgó en 25 de Setiembre de 1682 en la villa de Maralla, reino de Navarra, ante Gabriel de Muñeríí Aguirre, escribano Real; y mediante á que consta en di chos autos que la citada renta cobraron en el año de 1802 diferentes personas, co…</t>
  </si>
  <si>
    <t>Vicente</t>
  </si>
  <si>
    <t>…pueda llegar á noticia de los interesados, y obre los efectos referidos. Pendiendo en el juzgado del señor teniente de corregidor D. Joaquín de Almazan y escribanía de! número de D. Vicente de la Costa los autos de dimisión de-bie nes de D. Manuel de la Lama, vecino del comercio que fue de esta corte, á instan cia de D. Angel González, como marido de Doña María de la Lama, se ha seña lado para celebrar junta el dia .30 del corriente mes, á las n…</t>
  </si>
  <si>
    <t>„ parecer de dicho supremo tribunal, hS" tenido á', bien declarar al mariscal de campo D. Vicente35&gt;áorio buen servidor del Rey y de la patria; que su con* ducta militar ha sido siempre bizarra, y conforme al buen crédito que ha te nido en el egército ; que la observada durante su comisión fue la mas pruden te, delicada y desinteresada queppdia y debía ob…</t>
  </si>
  <si>
    <t>Vicente, Pascual</t>
  </si>
  <si>
    <t>Pascual Vicente</t>
  </si>
  <si>
    <t>…sidad, se pro cedió á la adjudicación de premios, que se distribuyeron á los sügetos si guientes: D. Lúeas Escribano, D. Josef Larrea, D. Raimundo Lecina , Doii Vicente Higueras y D. Pascual Vicente. Fue también considerado digno de premio D. Antonio Ximeno; y mientras el muy ilustre gobernador dió á cada uno su premio, la música cantó unas letrillas en honor de los premiados. Dió en fin las gracias al muy ilustre ayuntamiento y al auditorio D. Manuel Hi…</t>
  </si>
  <si>
    <t>Vicente.Sarria</t>
  </si>
  <si>
    <t>…ia 10, D. Josef Ramón Zozalla 2, D-&gt; Jaime Mas 8, D. Martin de Irrgo•yen 8 , D.; Juan:.Gcrd.il.' d, D¿ tMiguel Antonio Oyarzabal 6 , D. Joaquín/ Emazabei 4, D. Antonio Delgado 4 , D. Vicente.Sarria 4, D. Marcial Bei*7 mudez 4, D. Joaquín Reina y Capetilío 8, D. Francisco Espar 6, D. Fran cisco Ríos i , Sr. marques dy Mijares 2 , D. Lorenzo Solórzano 10, D. Pe dro Josef Solórzano 16, DvJuan; Jósef Echezuria y Echeverría 6 &gt; D. Pablo Gascue ■*, D. Manuel…</t>
  </si>
  <si>
    <t>Victoria, Juan Josef</t>
  </si>
  <si>
    <t>Juan Josef Victoria</t>
  </si>
  <si>
    <t>…replegué .al cuartel, adomde-cargaron con toda fu fuerza, haciéndome un fuego terrible, que duró largo rato; mas después hice, salir 50 hombres al mando del teniente de infantería D. Juan Josef Victoria y el referido subtenienre Atilano á fin de desalojarlos de las;casas y árboles mas.inmediatos en que se hallaban parapetados; pero co nociendo que la retirada que estos hicieron era falsa, mandé que mi partida lo hiciese ál cuartel, cesando en este acto los f…</t>
  </si>
  <si>
    <t>Vicuña, Cristóbal de</t>
  </si>
  <si>
    <t>Cristóbal de Vicuña</t>
  </si>
  <si>
    <t>…cio que haya lugar. Por providencia del Sr. D. Joaquín Almazan , del Consejo de S. M., primeir te niente corregidor de esta muy heroica villa, dáda por la escribanía del número de D. Cristóbal de Vicuña, se ha-mandadó!publicar por 15 dias mas la subasta de la casa de recreo prapia: de la testamentaría del último señor conde marques de Pera les , difunto, sita donde llaman él Salitre, Extramuros de esta corté por la puerta de Atocha, medianera con la casa de…</t>
  </si>
  <si>
    <t>…o de S. M., teniente corregidor de esta muy heroica villa, ¿a persona que quiera hacer postura,, no siendo en menos de la tasación., acuda ante dicho señor juez-, y escriba nía de D. Cristóbal de Vicuña. Por el presénte se cita, llama y .emplaza á D. Antonio de la Garma* último te-, hedor que aparece ser dé uh vale Real de 300 pesos de Mayó de 18o8,núrn. 430467, ó persona que se crea con derecho, á dicho vale, para que acuda ¿ deducirle en él término de 20 d…</t>
  </si>
  <si>
    <t>…en 3,320,83^$. y 17 mrs., acuda ante el Sr. D. Angel FernandjJez: de los Ríos, del Consejo de S. M., teniente corregidor de esta muy heroica viiy, |)or la escribanía del numero de D. Cristóbal de Vicuña, que se vende á voluntad de su dueño con calidad de darla con capitales de censos 9 sin ellos por estar sujeta 1 tres, y cargas Reales en unión con otras tres del mismo dueño, según se acuenrde por mas conveniente en el acto del remate, para el que es^tá seña…</t>
  </si>
  <si>
    <t>…a vo luntad se ba de verificar, acuda ante el, Sr. Q. Angel Fernandez de los Ríos, del Consejo de S. M., teniente primero de corregidor de esta muy heroica villa, y escri banía de D. Cristóbal de Vicuña; previniendo que está señalado para su remate el dia 7 de Agosto próximo, de doce á una de su mañana, en las puertas de la audien cia de S. S. El Secretarlo de los comerciantes, ó modelo de cartas, facturas, cuentas de ren tas, cuenta corriente y de intereses…</t>
  </si>
  <si>
    <t>…., teniente corregidor dé ésta muy heroica villa. * . i ■ Por providencia del Sr. D. Manuel Josef Rubio , teniente corregidor de esta muy heroica villa, y escribanía del número de D. Cristóbal de Vicuña , se ha mandado sa car á pública subasta la casa calle del Príncipe, núm. 5 , manz. 216, tasada en 182988 rs. , la cual comprende 2408! pies de sitio superficiales* Quien quisiere,hacer postu ra á dicha casa, acuda ante dicho' señor juez y citada escribanía;…</t>
  </si>
  <si>
    <t>Vidal, Benito de Salas</t>
  </si>
  <si>
    <t>Benito de Salas Vidal</t>
  </si>
  <si>
    <t>…del establecimiento, exa minadas con la mayor imparcialidad todas sus decurias, adjudicaron los pre mios á los mas beneméritos en cada una. Dió principio al acto público el alumno D. Benito de Salas Vidal, manifestando en una oración latina que los antiguos romanos desconocieron los acentos, y que estos, inventados en los si glos segundo y tercero, fueron verdaderos signos musicales, según ya había de mostrado en Alemania el eruditísimo Isaac Vosio. Siguióse u…</t>
  </si>
  <si>
    <t>Vigil, Antonio</t>
  </si>
  <si>
    <t>Antonio Vigil</t>
  </si>
  <si>
    <t>…ampa de los Cerrillos, en que se vieron rodeadas dé 700 á 800 caballos, que intentaban atraer cor» falsas huidas á los 180 escasos y mal mon.tados que llevaba nuestra división. El coronel D. Antonio Vigil, que tomó el mando por haber salido; graveniente herido el dia anterior el coronel Sar dina, les conoció la iñténciori ^ y dispuso que npestra,f.caballería formase martillo sobre el cuadriíongo/que ya habla formado el batallón ligero de Ge rona , y que en una…</t>
  </si>
  <si>
    <t>Vigil, Francisco</t>
  </si>
  <si>
    <t>Francisco Vigil</t>
  </si>
  <si>
    <t>…ia, D. Antonio Carrasco, de Gén.ova, D. Rafael Correa, Joa quín Rodríguez, de Asturias, Doña Rosa Velazquez, Doña Teresa González, de Valladolidi Antonia Carreras, de Valdemoro, y D. Francisco Vigil, del reino de Francia, y sus sucesores, como legatarios de los Éxcmos. Sres. D. Francisco de Pau la y la Cerda, y Doña María Vicenta de Osorio y Moscoso, su muger, condes que fueron de Aguiíar. En su consecuencia se les cita, llama y emplaza á lin de que den…</t>
  </si>
  <si>
    <t>Vigil, Josef</t>
  </si>
  <si>
    <t>Josef Vigil</t>
  </si>
  <si>
    <t>…Rey nuestro Señor; contentándome en lo pronto con dar á todos las debi das gracias en nombre de S. M., y el grado inmediato al alférez agregado al regimiento de dragones de México D. Josef Vigil, que cóádujo el parte, y viene recomendado en é!. ‘ f , ,Encl pueblo de Misantla se han presentado á indultó los cabecil lay‘ Mendez, Espinosa, Tinoco, Romero y Cresencio con 200 hombres armados de fusil y machete, 5 5 barriles de pólvora , 4 cajones de cartu…</t>
  </si>
  <si>
    <t>Vigodet, Gaspar</t>
  </si>
  <si>
    <t>Gaspar Vigodet</t>
  </si>
  <si>
    <t>…tiene la bondad de decir en qué punto ? ' ' . , . , 16. ¿Si cualquiera de sus botes 6 lanchas se ha comunicado con otro barco ¿ bote en la mar, y de qué modo lo han verificado? ? Don Gaspar Vigodet, teniente general de los Reales egércitos, capitán general del egército-y provincia de Castilla la Nueva &amp;c. &amp;c. &amp;c. : Hago saber al publico que el Rey nuestro Señor con Real orden de 20 de Túlio último, que me ha comunicado el Sr. secretario de Estado y del…</t>
  </si>
  <si>
    <t>Vilajoana, Josef María Ferrer y</t>
  </si>
  <si>
    <t>Josef María Ferrer y Vilajoana</t>
  </si>
  <si>
    <t>…dad y tino. Con igual esmero y con plena satisfacción del numeroso concurso, que apenas cabía en el salón, desempeñaron el examen sus tres compañeros Don Antonio Carrera y Draper, D. Josef María Ferrer y Vilajoana y D. Josef Antonio Manté y Gual, manifestando el primero que nada hay mas justo que la contribución que sufren los pueblos para acudir á los gastos públicos; pero que para ser el impuesto menos gravoso, y que menos perjudique, debe car gar sobre las rentas, y nunca sobr…</t>
  </si>
  <si>
    <t>Vilar, Eloy</t>
  </si>
  <si>
    <t>Eloy Vilar</t>
  </si>
  <si>
    <t>…5 á las niñas; y en consideración ai sobresaliente mérito de cuatro de las niñas fueron agraciadas con una medalla igual de oro. En la clase de dibujo fue premiado con 100 rs. vn. D. Eloy Vilar, discípulo de la Real academia de Nobles Artes de S. Cárlos. Habiendo ocupado los premiados el lugar distin guido según costumbre, y cesado la música que solemnizaba este tierno acto, el socio honorario P. Lorenzo de S. Blas, vice-rector del colegio de las Es…</t>
  </si>
  <si>
    <t>Vilar, Josef</t>
  </si>
  <si>
    <t>Josef Vilar</t>
  </si>
  <si>
    <t>…el Rodríguez, D. Juan de Dios Elias, los Sres. Bohe, hermanos y compañía, D. Mariano de Urbieta, D. Josef Uhicon, D. Ignacio Suarez, D. Francisco Antonio Abadía, Doa Mariano Gil y D. Josef Vilar, últimos tenedores de 32 vales Reales; 15 de ellos de 150 pesos, creación de Enero de 1808, con los números 23*689, 245110, 252506, 253818, 255204, 264499, 269131, 273684 , 283688 , 287576* 288287, 292535, 307906, 321387, 338476: seis de .300 pesos también de…</t>
  </si>
  <si>
    <t>Vilarmau, Josef Radia y</t>
  </si>
  <si>
    <t>Josef Radia y Vilarmau</t>
  </si>
  <si>
    <t>…itaron en sus respectivos actos D. Jaime Serarols una oración latina en defensa de la enseñanza pública; D. Francisco Vintró un poema latino en elogio del Angélico Dr. Sto. Tomas; D. Josef Radia y Vilarmau, colegial, un discurso sobre la utilidad de los certámenes, y otro Don Manuel Casanovas de la importancia de la aritmética y doctrina cristiana. Le yeron con la debida puntuación ; manifestaron sus progresos en los varios ca racteres, su inteligencia en la ar…</t>
  </si>
  <si>
    <t>Vilches, Juan Darac y</t>
  </si>
  <si>
    <t>Juan Darac y Vilches</t>
  </si>
  <si>
    <t>…o por la muerte del esforzado subteniente de infantería de Concepción D. Alejo Da-* rae y Vilches, joven de una disposición , conducta y valor extraordinario, habiendo concedido á D. Juan Darac y Vilches, su hermano, eo el mis mo campo de batalla el grado de subteniente del mismo batallón , debido jus tamente al esforzado valor que en clase de voluntario ha manifestado tn esta acción y gloriosa retirada: no debiendo pasar en silencio el mérito con-* traído po…</t>
  </si>
  <si>
    <t>Vilches, Luis</t>
  </si>
  <si>
    <t>Luis Vilches</t>
  </si>
  <si>
    <t>…uierda de Chepe, donde formé la infantería protegida por mi guardia de honor que sostuve, acompañado de mi mayor general teniente de fraga ta D. Josef María Butrón, el subteniente D. Luis Vilches, y el de la misn ma clase D. Josef XJgarte: en esta forma emprendí mi retirada con el ma-* yor orden , y solo tres cañones que hice conducir tirados por mis soldados, sin saber donde dejaron el otro los mismos que lo servían, siendo cargado en ella por todo e…</t>
  </si>
  <si>
    <t>Vilches, Manuel de</t>
  </si>
  <si>
    <t>Manuel de Vilches</t>
  </si>
  <si>
    <t>…ía y felicidad de sus vasallos/* El Rey se ha dignado nombrar para la plaza de oidor de la chancillería de Granada, que resulta vacante por muerte de D. Josef Guillen de Toledo, á D. Manuel de Vilches, alcalde del crimen mas antiguo del mismo tribu nal ; y para esta resulta á D. Ignacio deGusseme^ para ia de oidor de la au diencia de Extremadura., que resulta vacante por promoción de D. Francisco Martínez de Galinsoga á plaza de alcaide de Corte., á D. Fra…</t>
  </si>
  <si>
    <t>Vilianue, Bernabé</t>
  </si>
  <si>
    <t>Bernabé Vilianue</t>
  </si>
  <si>
    <t>…Parte del teniente coronel D. Juan Isidro de Mar ron* j ,, Adjunto acompaño á V. S. para su conocimiento el parte original, qué con fecha de ayer me ha pasado el capitán graduado D. Bernabé Vilianue— va, relativo á la acción que en combinación con el teniente coronel Don Manuel Gómez sostuvieron las tropas de S. M. contra las gavillas de los rebeldes Campos,, Izquierdo , Ayala y Aguilar el 17 del corriente r atrinche rados en el pueblo de Aíáhuixtlary, c…</t>
  </si>
  <si>
    <t>Vilíaseñor, Cristóbal</t>
  </si>
  <si>
    <t>Cristóbal Vilíaseñor</t>
  </si>
  <si>
    <t>…canso á la tropa y poner los ranchos, con el ánimo de continuar la marcha en la noche, en la cual me dieron parte los capitanes D. Josef María Terrazas, comandante de Rioverde,. y D. Cristóbal Vilíaseñor, del escuadrón de Sierragorda, que habiendo llegado al Grangenal en persecución del enemigo , su pieron que este habia salido de aquel punto á la hora precitada, y que ellos con 800 hombres del partido de Rioverde seguían su alcance, emprendiendo la marcha á…</t>
  </si>
  <si>
    <t>Villa, D Pedro González</t>
  </si>
  <si>
    <t>D Pedro González Villa</t>
  </si>
  <si>
    <t>…heridos y 16 contusos. Entre los heridos me cuento yo, atravesado el mus-, lo izquierdo de una bala de fusil al dar la carga á la infantería. También fue herido al mismo tiempo el coronel D Pedro González Villa; el ayudante del segundo batallón de Navarra, graduado de capitán, D. Josef Narvaez ; el te niente D. Luis La Madrid; lo$ subtenientes D. Sancho Pardo y D. Domingo Agustín; y del de Castilla contusos el capitán de granaderos D. Juan de Lo bo, el teniente D. V…</t>
  </si>
  <si>
    <t>Villa, Mariano de</t>
  </si>
  <si>
    <t>Mariano de Villa</t>
  </si>
  <si>
    <t>…au ditorio en una caución que pronunció él pensionista. IX Eladio Echeverría*. Habiendo presidido dicha función el muy ilustre ayuntamiento de dicha vi lla y su-presidente el Dr. D. Mariano de Villa y gobernador raiiitar y político</t>
  </si>
  <si>
    <t>Villa, Pedro Díaz</t>
  </si>
  <si>
    <t>Pedro Díaz Villa</t>
  </si>
  <si>
    <t>…al amanecer del 16 con dos divisiones que ¡hice la ñoché antes en1 Sabana grande,¡poniendo la de jiifantéría á las órde-^ nés del subteniente- de la primera compañía, de milicias D. Pedro Díaz Villa, .para que( entrando por el cerro de Gamarroñá corriese toda, aquella áspéra y f.dilatada: montaña ,hasta salir al camino real de Ixcatepec, y que de allí coñ' 'tramarchiase por sil derecha1 hacia. el sur para unirse á mí , que con íá caba-^ /Jleria Iée^peraj…</t>
  </si>
  <si>
    <t>Villa, Pedro González</t>
  </si>
  <si>
    <t>Pedro González Villa</t>
  </si>
  <si>
    <t>…ndo de Navarra formados en columna en "ma sa para dirigirse á atacar á la bayoneta; el primero al centro de los dos bata llones de la derecha de infantería enemigo, mandado por el coronel D. Pedro González Villa, teniente coronel, y convalidante del mismo, y el segundo las de su comandante D. Ildefonso Ugarte, con dirección también al centro, de Jos dos batallones de su izquierda. En el centro de ambos cuerpos las com-</t>
  </si>
  <si>
    <t>Villafañe, Manuel de</t>
  </si>
  <si>
    <t>Manuel de Villafañe</t>
  </si>
  <si>
    <t>…nte coronel del segundo regimiento de infantería de Zamora* El Rey se ha servido nombrar para cuatro plazas de oidores de la Real audiencia de Valencia, vacantes por jubilación de D. Manuel de Villafañe, D. Ramón Gíraldo, D. Lorenzo Villanuevay D. Josef Alonso, á D. Miguel Modet, oidor de la audiencia de México; á D. Josef González Tizón , oidoír de la de Cataluña, ambos con su antigüedad; á D. Francisco Xavier Borrulf, y D. Josef de Cartagena, oidores en co…</t>
  </si>
  <si>
    <t>Villalba, Antonio</t>
  </si>
  <si>
    <t>Antonio Villalba</t>
  </si>
  <si>
    <t>14o la Via y D. Josef Cólomer, el abanderado D. Pedro Campománes y ios subtenientes D. Antonio Villalba y D. Rafael Villavicencio, heridos de gra vedad: el capitán D. Manuel Velazquez , los tenientes D. Juan Sorelo, Don Juan Gómez, D. Josef Segador, D. Josef Elua y D. Manuel Martin Alvarez, y los subtenientes D. Tiburcio de Cañas, D. Antonio Tuya, D. Ma nuel Sánchez Trívino y D, Martin…</t>
  </si>
  <si>
    <t>Villalbá, Antonio de</t>
  </si>
  <si>
    <t>Antonio de Villalbá</t>
  </si>
  <si>
    <t>…e Sigüenza, orden de'S. Juan, villa de Castel-Dasens, corregimiento de Lérida, D. Luis Calatayud, y conde de Sirat, D. Diego Raimundo Seguí, D.Bernard,ino Luis de Ardena y Darmus, D. Antonio de Villalbá, y D. Pedro de Ribero. Lo que se avisa de orden del,, Consejo para qué los respectivos interesados en los mencionados papeles acudan, si les conviniese , á recogerlos dei referido D. Vicente Trancho Gutiérrez, que vive ca-, lie del Prado, número 5. Serhallá V…</t>
  </si>
  <si>
    <t>Villalonga, Ramón</t>
  </si>
  <si>
    <t>Ramón Villalonga</t>
  </si>
  <si>
    <t>…ijo V. S. en oficio de 18 de Mayo último, acompañan do la causa formada en averiguación de la conducta que observo el capitaa agregado al batallón de infantería ligera de Canarias D. Ramón Villalonga du rante el tiempo que estuvo prisionero de los franceses en la guerra anterior, y la cual vista en consejo de guerra de oficiales generales en el principado de Cataluña fue sentenciada, declarando á'-Villalonga por unanimidad de votos digno de ser repuesto e…</t>
  </si>
  <si>
    <t>Villamarin, Francisco Vittini</t>
  </si>
  <si>
    <t>Francisco Vittini Villamarin</t>
  </si>
  <si>
    <t>…a ciudad de Córdoba, como, también el de Don Juan Antonio Ruiz, que en el año de 1809 residía en la ciudad de Murcia. Quién tuviere noticia de dichos sugetos se servirá avisarlo á D. Francisco Vittini Villamarin , oficiaL en la principal de Correos de Cádiz,quién dará á dicha persona, ba jo la correspondiente certeza, 69 rs. vn. La Real academia latina, en virtud dé la circülar del supremo Consejo de iz de Agosto último, hace saber que en la ciudad de Antéquera está…</t>
  </si>
  <si>
    <t>Villamiéva, Bernabé</t>
  </si>
  <si>
    <t>Bernabé Villamiéva</t>
  </si>
  <si>
    <t>…ará.) &gt; espada-. * t T-'YV T'Z v.”; ^ ■VMixícó;¡2£ ¿fe Ñovfetó&amp;re. r r . í ; . ".** * ! .i.?"-- &lt; -;r ?.»'* ■ -/ o ,;-r: :v . Continuacion.de los partes de Nueva-España, £arte del capitán D. Bernabé Villamiéva que cita el de la gaceta anferio r¿y V 1 ‘ ' ' . ' '! '1 ;; í í.*2¿ :'it &gt; » ¡ n -:ifi t- í r.., .. j .2032^ Zí.cuo í-orcj*: ‘—--i &lt; Habiéndome pasado órdeq él teniente coronel. Jopa bidto Mar roo* Comandante de las arma£'de;esta plaza , en oficio del actual…</t>
  </si>
  <si>
    <t>Villamil, Cayetano Fernandez</t>
  </si>
  <si>
    <t>Cayetano Fernandez Villamil</t>
  </si>
  <si>
    <t>…, dispuso cele brar los exámenes de los alumnos de ellas en ios dias 2 y 3 del corriente mes. Dióse principio por un papel alusivo al objeto, que leyó el primer maestro di rector D. Cayetano Fernandez Villamil. Fueron examinados en aritmética Don Manuel Barbet, D. Ramón Peón, D. Josef Rodríguez Romero, D. Luis Cla^ vareza, D. Juan Corvera y D. Josef Echániz. En álgebra'D. Manuel Rodrí guez Almeida. En geometría ios citados Almeída y Clavareza, D. Manuel María Riber…</t>
  </si>
  <si>
    <t>Villamon, Teresa</t>
  </si>
  <si>
    <t>Teresa Villamon</t>
  </si>
  <si>
    <t>…Ximeno, del Consejo de S. M., teniente de corregidor de esta corte, se cita y emplaza á las personas interesadas en Ja herencia de Dona Ramona de la Azuela, hija de D. Joseí y de Doña Teresa Villamon, difuntos, vecinos del lugar de Viergol, en el Real valle de Mena, la que falleció soltera sin disposición testamentaria el día 26 de Noviembre de 1816 en el expresado lugar de Viergol, para que dentro del preciso y perentorio término de 30 dias acudan á este…</t>
  </si>
  <si>
    <t>Villanova, Senen</t>
  </si>
  <si>
    <t>Senen Villanova</t>
  </si>
  <si>
    <t>…vísima recopilación. Se vende en la librería de Martínez, frente á S. Felipe el Real, á 140 rs. á la rústica y 1 ó8 en pasta. En la misma se vende la obra de Práctica criminal por D. Senen Villanova en 4 tomos. EN LA IMPRENTA REAL.</t>
  </si>
  <si>
    <t>Villanova, Tomas</t>
  </si>
  <si>
    <t>Tomas Villanova</t>
  </si>
  <si>
    <t>…a corte al Excmo. Sr. D. Josef León y Pizarro, pri merSecretario dei Estado y del Despacho;, el cual ría mandó examinar ai vice profesor de? .apología del Real museo de esta corte D. Tomas Villanova. - 1</t>
  </si>
  <si>
    <t>Villanueva, Bernabé</t>
  </si>
  <si>
    <t>Bernabé Villanueva</t>
  </si>
  <si>
    <t>…n Combinación aquel punto. ,,A esta hora, que son las 8 de la noche, llego á este pueblo, y recibo en él el adjunto oficio del mismo Marrón, y parte que le dió el bizarro capi tán D. Bernabé Villanueva de la brillante toma de aquel punto y muerte de sus defensores, aunque con la sensibilísima desgracia de haber salido heridos Gómez y Pedrosa, y muertos 2 dragones de la compañía del primero. • ^Recomiendo á V. E. á los oficiales que Marrón menciona, porque,…</t>
  </si>
  <si>
    <t>…á V. E^ por su capitán D. Manuel Gómez, se impondrá por el adjuntó parte j que original incluyo , como igualmente lo egecuto con el que rae ha da do el capitán de dragones del Sur D. Bernabé Villanueva, quien por orden, del teniente coronel graduado del mismo cuerpo D. Juan Isidro Marrón, y por combinación hecha con el teniente coronel D. Manuel Gómez, se halla ba situado én los puntos que demarca y con la fuerza que expresa^ „ El resultado de esta acción h…</t>
  </si>
  <si>
    <t>…ón Juan varro, que salió herido de un bayonetazo; al sargento de dragones de Espa-1 ña Antonio Perez , que fue el primero que avanzó al cementerio; ai capitán' de dragones del Sur D. Bernabé Villanueva y oficiales que expresa en :su: parte, pues con un violento movimiento coadyuvaron en todo ai logro de la&gt; victoria, y especialmente el teniente D, Ignacio Prieto , del mismo cuerpo,! quien con la gente que mandaba cortó la retirada á los rebeldes , y. se int…</t>
  </si>
  <si>
    <t>pitan graduado de egército D. Bernabé Villanueva, de dragones del Sur, y te--, niente graduado del Potosí D. Ramón de la Cruz con 40 dragones se echasen encima á toda costa, y yo con los 40 restantes y los oficiales capitán gradua do de dragones de España, mi ayudante, teniente graduado del Potosí D. Jo sef…</t>
  </si>
  <si>
    <t>Villanueva, Melchor</t>
  </si>
  <si>
    <t>Melchor Villanueva</t>
  </si>
  <si>
    <t>…0, 399318, '403613 , y los otros dé 300 pesos/señalados eótí íós números 423800 , 443498* 473933 , todos dé lá crea ción de i.° de Mayo* renovados en t8o8 , y endosados á favor de D. Melchor Villanueva, Iqs cuales en Octubre de 18 so quedaron en Zaragoza en poder del Go bierno intruso, se servirá, avisarlo en é&amp;ta córte á D. Rafael Pueyó, présbíteroV^üé vive en los portales de S,. Isidro, num. 12 ; en Zaragoza á D. Pedro Lasala, y en F*agá de Aragón al expr…</t>
  </si>
  <si>
    <t>Villanuevay, Lorenzo</t>
  </si>
  <si>
    <t>Lorenzo Villanuevay</t>
  </si>
  <si>
    <t>…ntería de Zamora* El Rey se ha servido nombrar para cuatro plazas de oidores de la Real audiencia de Valencia, vacantes por jubilación de D. Manuel de Villafañe, D. Ramón Gíraldo, D. Lorenzo Villanuevay D. Josef Alonso, á D. Miguel Modet, oidor de la audiencia de México; á D. Josef González Tizón , oidoír de la de Cataluña, ambos con su antigüedad; á D. Francisco Xavier Borrulf, y D. Josef de Cartagena, oidores en comisión que han sido de la misma au*diencia de Valencia; y…</t>
  </si>
  <si>
    <t>Villaplana, Gregorio Gisbert y</t>
  </si>
  <si>
    <t>Gregorio Gisbert y Villaplana</t>
  </si>
  <si>
    <t>…blica desde el dia anterior los objetos premiados,acompañada de un numeroso y lucido con curso. A pocos momentos se principió el acto por una pieza de música ; y concluida, el Dr. D. Gregorio Gisbert y Villaplana, actuai vice-direcror de! cijerpo , manifestó al público(el objeto de la reunión. En seguida el secretario dei mismo. D, Josef Antonio Ponzoa leyó un extracto razonado de las prin-</t>
  </si>
  <si>
    <t>Víllaquiran, María Ordoñcz</t>
  </si>
  <si>
    <t>María Ordoñcz Víllaquiran</t>
  </si>
  <si>
    <t>…nden las fincas siguien tes: ¿1 término redondo titulado de Miranda de Pericalbo, existente en la jurisdic ción de la 'ciudad de Salamanca , correspondiente al mayorazgo que fundó Doña María Ordoñcz Víllaquiran , de que es poseedora dicha Excma. Sra. , el cual se com pone de labpr , pasto y monte, su cabida dé 1263 huebras de 400 estadales cada una de primetá, segunda y tercera calidad; el monte de bellota; úna huerta ó cortina cercada dé pared de piedra , que hace…</t>
  </si>
  <si>
    <t>Villar, Benito</t>
  </si>
  <si>
    <t>Benito Villar</t>
  </si>
  <si>
    <t>…s tro Señor. Madrid 28 de Diciembre. ARTICULO DE OFICIO. t Por Real resolución de 10 del presente mes, á consulta del Consejo su premo de la Guerra, se ha servido S. M. conceder á D. Benito Villar, veci no de la ciudad de Baza, el fuero militar y uso de uniforme de practicante de farmacia de egército en premio de los servicios que ha hecho en las boti cas militares de campaña durante la última guerra; declarando al mismo tiem po le ha sido muy grata á…</t>
  </si>
  <si>
    <t>Villarejo, Francisco María</t>
  </si>
  <si>
    <t>Francisco María Villarejo</t>
  </si>
  <si>
    <t>…ue se hayan hecho dig nos, se establezca en dicha plaza una junta de justificaciones presidida por su gobernador, y compuesta del sargento mayor de ell3, del que lo fue del cuerpo D. Francisco María Villarejo, y de dos individuos por ambos cabil dos, eclesiástico y civil , ante la cual justifiquen los interesados su derecho según las diferentes circunstancias en que se hubiesen hallado, y queden ex cluidos los que por egoísmo, pusilanimidad u otras causas se hubie…</t>
  </si>
  <si>
    <t>Villaseñor, Cristóbal</t>
  </si>
  <si>
    <t>Cristóbal Villaseñor</t>
  </si>
  <si>
    <t>…sugetos que mas se distinguieron en esta acción, y fueron los siguientes: Los tenientes coroneles D. Juan Rafols y D. Francisco de las Piedras: los capitanes D. Facundo Melgares, D. Cristóbal Villaseñor y D. Eusebio Moreno: el teniente coronel graduado D. Alejandro María Arango; y mis ayudantes de campo el capitán graduado D. Juan Basave, el alférez de na vio de la Real armada D. Juan Sanjurjo Montenegro, y el primer ayudante del Real cuerpo de cirugía D. Felipe Martínez, que a…</t>
  </si>
  <si>
    <t>Víllaseñor, Cristóbal</t>
  </si>
  <si>
    <t>Cristóbal Víllaseñor</t>
  </si>
  <si>
    <t>…tuve el honor de mandar se portaron en este dia, pues todos todos desempeñaron sus deberes á mi satis* facción, y particularmente los tenientes coroneles D. Anastasio Bustamante, D. Cristóbal Víllaseñor y D. Josef María Novoa; y para la de los demas pongo á continuación sus nombres y cuerpos á que pertenecen. ,,Del batallón de Zaragoza: capitán D. Manuel Velazquez , tenientes Don Josef Colomer y D. Pedro Salvador de Pazos, subtenientes D. Manuel San* chezTreviño y D. Justo Zaldiva…</t>
  </si>
  <si>
    <t>…ariano Miqueley; portas D. Benito Fernandez y D. Mariano Teran. De Nueva-Vizcaya: alféreces D. Lázaro Armendariz y D. Justo Escudero. De Sierragorda: capitán graduado de te niente coronel D. Cristóbal Villaseñor; teniente graduado de capitán D. Jo-, sef García Marín , teniente D. Manuel Ortiz , y graduados D. Pedro Ana ya, D. Luis de la Carrera y D. Ignacio Romero Pando; alféreces D. Apolinario Rodea y D. Miguel Rodríguez. De S. Luis: capitán graduado de teniente co…</t>
  </si>
  <si>
    <t>…es y Joaquín Santos, y el sargento de realistas Josef.Guzman. „ Dios guarde á ymd. muchos años. $. ía-is. de la Paz Junio 3 de 1818. = M araiel Vélazquez. Sr. t-eniente coronel y -comandante D. Cristóbal Villaseñor.” Madrid 2$ de Diciembre. Eo el sorteo de la Real lotería moderna de grandes prepiios, celebrado e| dia 24 del presepte, sijile/o.o sorteados con Jos premios mayores l.os npmetd# siguientes;-^,; Número*? Premios. Admiwf¿rufián?*. 8705.................. .' 500…</t>
  </si>
  <si>
    <t>Villaseñor, Josef Cristóbal</t>
  </si>
  <si>
    <t>Josef Cristóbal Villaseñor</t>
  </si>
  <si>
    <t>…nes.. i ,, Dios guárdela V. E. muchos años» Valle de Santiago Enero 31 de 1818. =Exc|iio. §rf= Pascual de Líñan. = Excmo. Sr. virey D. Juan Ruizde Apodaca.” . ¡ Parte del teniente coronel D. Josef Cristóbal Villaseñor. , ,,En cumplimiento de la órden que me comunicó el coronel D. Francis co de ¡Orran tíar salí anoche de este campo con 300 caballos, compuestos de los cuerpos de Frontera ; Provindss , dragones de Sierragorda ■ y S. Carlos, dirigiéndome á la hacienda de S. Is…</t>
  </si>
  <si>
    <t>…inferior; de laCroix, de Einisterre, y Aquiles de la Tour, del Sena^ ESPAÑA. ' ; México 28 de Junio. ‘ , Continuación de los; partes de Nueva-JEspaña. Parte del teniente coronel y comandante D. Josef Cristóbal Villaseñor al comandante general D. Francisco cíe Cruizarnótegui. ,,Por un correo interceptado al apóstata Dr. Magos supe el 25 del pasado próximo Mayo que convocaba este mandarín intruso á los cabecillas Ortices y gavillas de Jalpa para el 2 de este en la hacienda de C…</t>
  </si>
  <si>
    <t>Villegas, Alfonso de</t>
  </si>
  <si>
    <t>Alfonso de Villegas</t>
  </si>
  <si>
    <t>…de la imde medio Cuaderno mayar. =r= pliego de marca Alvaro 14. D. las Casas, Fernando Fr. Bartolomé ÍrentaReal.una, Andrés=rLaguna,En de Nunez D. de Guzman, Francisco Sánchez, y D. Alfonso de Villegas: 15. Ñuño.Nuñez Rasura¿ Lain Calvo, Pedro Navarro, D. Juan Bautista Perez, D. Gerónimo Gómez de Huerta, y D. Gas par de Guzman y Pimentel. (Se continuara.') El Sr. D. Angel Fernandez de los Ríos, del.Consejo de S. M., teniente corre gidor de esta muy heroica…</t>
  </si>
  <si>
    <t>Villegas, Francisco Quevedo y</t>
  </si>
  <si>
    <t>Francisco Quevedo y Villegas</t>
  </si>
  <si>
    <t>…urisprudencia española; una carta dirigida á los editores sobre la navegación del Manzanares, y su contestación; una memoria sobre la renta del tabaco; una noticia histórica sobre D. Francisco Quevedo y Villegas; una descripción de la isla de Pinos, unas reflexiones sobre el derecho natural; el discurso pronunciado en la instalación de la Real audiencia de Extremadura; una instrucción secreta del emperador Carlos v á su hijo D. Felipe 11; una memoria de las cosas mas…</t>
  </si>
  <si>
    <t>Villette, Pedro Giroud de</t>
  </si>
  <si>
    <t>Pedro Giroud de Villette</t>
  </si>
  <si>
    <t>…stros Señores y los Sermos. Sres. Infantes se dignaron honrar por coarta vez la Real fá. brica de papel pintado y aterciopelado de esta corte, de la que es propieta rio y director D. Pedro Giroud de Villette. SS. MM. y AA., después de haber dispensado al director la honra de besar sus Reales manos, visitaron detenidamente los diferentes elaboratorios donde se fabrica el papel, se le aplica el oro y se aterciopela, á pesar del polvillo incómodo que se levanta en e…</t>
  </si>
  <si>
    <t>Villodres, Diego Martin de</t>
  </si>
  <si>
    <t>Diego Martin de Villodres</t>
  </si>
  <si>
    <t>…de la misma audiencia, declarada vacante por la imposibilidad de poder pasar ~á servirla D. Josef Rodríguez ; y la fiscalía de lo civil de la expresada audien cia que aquel deja á D. Diego Martin de Villodres: últimamente la asesoría del gobierno y presidencia de Goatemala, vacante por ascenso de D. Joaquín Ibañez á oidor de aquella audiencia, á D. Josef Martínez de la Pedrera. Resumen de las ultimas noticias de sanidad pública. En las provincias litorales de la p…</t>
  </si>
  <si>
    <t>Vilouta, Josef Bruno Magdalena García de</t>
  </si>
  <si>
    <t>Josef Bruno Magdalena García de Vilouta</t>
  </si>
  <si>
    <t>…y avisándonos quedar enterado y haberlo egecutado para nuestro gobierno. Madrid 20 de Abril de 1818. En consideración á la distinguida nobleza y señalados méritos y servi cios de D. Josef Bruno Magdalena García de Vilouta , mayordomo de sema na del Rey nuestro .Señor, y caballero comendador y contador de la .Real orden americana de Isabel la Católica, y á las pruebas que tiene dadas de su constante adhesión á la Real Persona, y de su lealtad y patriotismo, se ha dignado S. M.…</t>
  </si>
  <si>
    <t>Vintró, Francisco</t>
  </si>
  <si>
    <t>Francisco Vintró</t>
  </si>
  <si>
    <t>…truidos que asistieron de los lugares vecinos, hasta de Vich y Manresa. Recitaron en sus respectivos actos D. Jaime Serarols una oración latina en defensa de la enseñanza pública; D. Francisco Vintró un poema latino en elogio del Angélico Dr. Sto. Tomas; D. Josef Radia y Vilarmau, colegial, un discurso sobre la utilidad de los certámenes, y otro Don Manuel Casanovas de la importancia de la aritmética y doctrina cristiana. Le yeron con la debida puntuación…</t>
  </si>
  <si>
    <t>Vinuesa, Juan López de</t>
  </si>
  <si>
    <t>Juan López de Vinuesa</t>
  </si>
  <si>
    <t>…a de Cataluña, vacante por jubilación de D. Francisco Xavier de Ole* y Carra*, to, á D. Vicente Joaquín Noguera, barón de Anilla, que lo es de la dé Valencia: para esta regencia á D. Juan López de Vinuesa, electo para la dé Galicia :* para esta regeueia á D. Josef Ignacio Lloren*, electo para la de Mallorca; y para esta regencia á EL Miguel Ramón Mpret, oidor de la au ’ _ _ , , T. ,. , *diencia de Valencia, , ^ Asimismo ha nombrado $. M. á I&gt;. Ramón María de L…</t>
  </si>
  <si>
    <t>Viqtor, Josef Antonio</t>
  </si>
  <si>
    <t>Josef Antonio Viqtor</t>
  </si>
  <si>
    <t>…sta de esa ciudad D. Josef Zamora , y quedar herido levemente el cabo de mi regimiento Jesús García. : , ; ,, Todos .los, oficiales con ;$u$ . respectivos piquetes ,, y, el cadete D. Josef Antonio Viqtor. del .Raso ,j.jds- Sierragorda-, se distinguieron particularmente* .cuyo .mérito recomiendo§&gt; .para que,si lo .tuviere á bien lo; haga pre sente'á: la superioridad, dpi3Sxgmo. Sr, virey. : ; . . . .</t>
  </si>
  <si>
    <t>Virues, Joaquín</t>
  </si>
  <si>
    <t>Joaquín Virues</t>
  </si>
  <si>
    <t>…e. Total fuerza de este distrito: 23 subalternos, 23 sargentos, 64 Cabos, 2 j6 soldados de infantería, y 75 de caballería. Comandante general de este distrito el mariscal de campo D. Joaquín Virues. Mayor general del distrito..... ■ • - &gt; _ . r _ JVotay;, ,í¿I;gefe deí, tercer .escuadrón de Borbon despues. de cubrir Tos rete nes qué se le detallan anteriormente se establecerá con el resto de la fuerza en Moguer, ^ , El gobernador de Gibraltar ha mandado…</t>
  </si>
  <si>
    <t>…. Sr. D. Josef María Alos: el segundo por el segundo comandante general de esta provincia el mariscal de campo Don Josef Ignacio Alvarez Campana; y el tercero por el de esta clase D. Joaquín Virues. 3.° El primer distrito se subdividirá en .los cantones siguientes: el de San Roque , que comprehderá desde el Guadiaro&gt; hasta el rio Palmones, lo man dará : el brigadier D. Félix. Prat: el de Algeciras, desde aquel rio hasta el Gualniesí, será del cargo del…</t>
  </si>
  <si>
    <t>Viz, Antonio Saenz de</t>
  </si>
  <si>
    <t>Antonio Saenz de Viz</t>
  </si>
  <si>
    <t>…Cartagena, oidores en comisión que han sido de la misma au*diencia de Valencia; y para la plaza de fiscal de lo criminal, vacante en el propio tribunal , también por jubilación de D. Antonio Saenz de Viz manos* á D. Josef Ayuso y Navarro, catedrático de prima de leyes jubilado de la ■universidad de Salamanca ; y para el corregimiento de letras de la ciudad de Xijona á D. Josef de Acha. Por Real resolución, á cdnsultá de la Cámara, se ba servido S. M. con cede…</t>
  </si>
  <si>
    <t>Vizcarra</t>
  </si>
  <si>
    <t>…su resultado. Del mérito de este gefe está V. E. ya enterado por mis anterio res partes, por cuya razón pido á V. E. el grado de coronel, y el inmediato para el capitaii Campos y teniente Vizcarra. Al hacer á V. E. esta propuesta tengo presente que el expresado Re vuelta no ha obtenido un grado en este egército, pues el empleo de tenientg coronel comandante del. escuadrón de voluntarios fieles que V. E. le ha con ferido es empleo de escala; y como ha s…</t>
  </si>
  <si>
    <t>…ento de las mandíbulas, los hacedÍ2nos de un sínoular aprecio, parecí éndome de justicia llamar en particular la superior atención de V. E. en Favor del capitán D. Manuel Campos y teniente Vizcarra: al pri-r mero por su actividad, zelo y esfuerzo, y al segundo por haber sido el que sorprendió el cantón de los conocidos por los Monigotes, haciendo 16 pri sioneros, dando muerte á uno, é hiriendo al nombrado comandante Cristóbal Nava , que se salvó dejándo…</t>
  </si>
  <si>
    <t>Vizcarra, Josef Antonio</t>
  </si>
  <si>
    <t>Josef Antonio Vizcarra</t>
  </si>
  <si>
    <t>…fami lias de aquellos terrenos, advertidos que de no hacerlo serán en lo sucesivo tratados como enemigos. i. ,,Por mi parte saiió herido el teniente de caballería de Nueva-Vizcayá D. Josef Antonio Vizcarra y 3 soldados de la propia caballería; pero ningu no de gravedad. ,, Ninguna expresión me parece bastante para recomendar como es debido estos beneméritos oficiales y tropa; debiendo asegurar á V. E. que la fatiga que en esta ocasión han sufrido en medio de lo…</t>
  </si>
  <si>
    <t>Vlllamieva, Miguel</t>
  </si>
  <si>
    <t>Miguel Vlllamieva</t>
  </si>
  <si>
    <t>240 nalmente ó poí éscfíto hastá últimos de Matzo próximo al P. D. Miguel Vlllamieva, procurador de la Real Cartuja del Paular, en la hospedería de S. Bruno, calle de Alcalá, de esta corte. Pedro Orea jo, natural de la villa de Villarejo de Salvanés, hijo de Henrique y de Agueda Tellez, se ausentó de esta corte el año 13 y y no habiéndose ten…</t>
  </si>
  <si>
    <t>Volcan, Domingo</t>
  </si>
  <si>
    <t>Domingo Volcan</t>
  </si>
  <si>
    <t>…arlos 18 de Abril de 1818. =: R amon González. =. Sr. capitán general de estas provincias.” 4.0 Ofiíio dtl Exento. Sr. D. Pablo Morillo alxapitan general interino de Venezuela. ,, D. Domingo Volcan, de la división del coronel D. Rafael López, aca bale llegar con dos. banderas cogidas á los rebeldes en la brillante acción del Rincón dé fós Toros, donde el traidor Bolívar ha sido completamente der rotado. ■ . ; : / í;' f „ Trescientos muertos, too prision…</t>
  </si>
  <si>
    <t>Wafer</t>
  </si>
  <si>
    <t>nombre, lo mas común eshállar esta bahía llena de islas de hielos fijos de una grande extensión, en las cuales se han visto montañas de 400 pies de elevación. El capitán Wafer confiesa francamente que tuvo por islas verda deras unos grandes trechos de hielos fijos que tenían 500 pies de altura. Los mismos hielos flotantes van á veces cargados de grandes piedras y árboles desarraigados, que forman la ilusión de una tierra cubierta d…</t>
  </si>
  <si>
    <t>Walmoden</t>
  </si>
  <si>
    <t>…paira el comercié déí Austria &gt; y examinár las obras que se están egecutanio par?. té ségürídád del puerto y de la navegación. El día 18 salió de aquí para Berlín el feld-teniente general Walmoden, 'qtíé se cree vaya comisionado para tratar sobre los contingentes militares de iá Confederación germánica. Él barón de Steigenstesch ^comisionado para este lAijétO porS. Ail L rdébe áalié é® breve dé áqui para! Francfort*</t>
  </si>
  <si>
    <t>Wan-Halen, Antonio</t>
  </si>
  <si>
    <t>Antonio Wan-Halen</t>
  </si>
  <si>
    <t>…y el general D. Pascual Enrile lo trajo á España con todo lo demas perteneciente á. la enunciada ex pedición botánica de Mutis, dando la honrosa comisión de presentarlo á S. M. al capitán D. Antonio Wan-Halen, encargado de la conducción de tan preciosos objetos. En el sorteo de la Real lotería moderna celebrado el dia 29 del pasado¿ salieron sorteados cotí los premios mayores los números siguientes: Números, Premios. Administraciones. 13842... 10000 pesos.........…</t>
  </si>
  <si>
    <t>Warieta, Francisco</t>
  </si>
  <si>
    <t>Francisco Warieta</t>
  </si>
  <si>
    <t>…nio Casano y D. Josef Barreiro, dej Real cuerpo de Artillería, que estuvieron llevando mis órdenes á los puntos de mas peligro por.no poder estar empleados en su arma. „El coronel.D. Francisco Warieta , gefe interino del estado mayor ge neral , y los tenientes adictos al estado mayor D» Manuel Caparros, D. Pedro Rufino, y D* Antonio López de Mendoza se han distinguido por su valor, y por la extraordinaria actividad con que acudieron á todas partes, contra…</t>
  </si>
  <si>
    <t>Washington</t>
  </si>
  <si>
    <t>…ierto que los in dividuos de que se trata querían cometer una infracción contra estas leyes, el Gobierno de los Estados-Unidos tiene derecho á impedirlo. Según lo ex puesto por el juez Washington en su discurso, parece que los Estados-Uni dos están firmemente determinados á permanecer neutrales. ,,Yo sé, dijo este juez, que no faltarán pretextos plausibles para paliar estos actos contrarías á la ley, y para hacerlos populares á los ojos de aquellos qu…</t>
  </si>
  <si>
    <t>…nicas,; que los vecino® de Corfú quieren hacer de bronce para colocarle en una plaza pública. El céle-* bre Ganova está haciendo para los Estados-Unidos americanos una estatua del general Washington. : : x j Acaba de publicarse en Lúea una ley por* la que se imponer la pena* dé ser quemado á los ladroneé de las iglesias. Eí ladron qpe ha dado motivo á esta ley no ha podido todavía haberse á las manos. - ¿ En una carta, fecha en Egipto el 3 de Marzo, se d…</t>
  </si>
  <si>
    <t>Wasmitinow</t>
  </si>
  <si>
    <t>…norueste de la América, han llega.do ya á ser viages ordinarios de, comercio '. desde que el célebre m$rillo KruseDstern d~ó el primer egemplo de viajar al rededor d~l mundo. , Al general Wasmitinow $e, l~ ha admitido la dhnisi.on que ha hecho del gobiern9 militar de est3. ~pitaI, premi:JJ1d9 al mismo tiempo sus serviciQ$ COI}.. el título de, conde, y co, n se, rva,' ndole, el ministerio de. _F.olicla que egercia. Para stJ.~erle en el gpbj~rf)o' JuHitaJ…</t>
  </si>
  <si>
    <t>Weber</t>
  </si>
  <si>
    <t>…evaba el uniforme del regimiento austríaco de su nombre, del que es coronel. AUSTRIA. Viena iS de Setiembre. Antes de ayer salió el Archiduque Maximiliano de. Este, acompañado del coronel Weber, para Inglaterra, en donde piensa permanecer seis meses. El Archiduque Francisco, hijo segundo de S. M. el Emperador, ha ido á acompañar á su hermana la duquesa de Bohemia hasta Saltzburgo. Se dice que el Archiduque Príncipe heredero piensa hacer un viage por…</t>
  </si>
  <si>
    <t>Weílington</t>
  </si>
  <si>
    <t>…o. El diique de Richelieu, el embajador de Inglaterra, el de Austria y el conde de Pálmela , embajador de Portugal cerca de la corte de Ñapóles, ha* tenido hoy una conferencia con lord Weílington. &gt; : Se ha publicado últimamente en Berlín un decreto, por el cual se prohí be á los médicos que no esten aprobados legalmente el curar por medio del magnetismo; y á los facultativos aprobados se les manda que den cada tres meses cuenta ae las enfermedades en…</t>
  </si>
  <si>
    <t>WeljingtOrt</t>
  </si>
  <si>
    <t>74 y FRANGIA: . A ■ ... París i$ de Julio. . :Hoy ha dado audiencia el Rey á lord WeljingtOrt, quien Iiabiertdo de par tir maíiana 6 al otro dia para Gambray fue á despedirse de S. M. y. de los* Príncipes y Princes&amp;S de la familia Real. ' ; ^.ESPAÑA.- . ’■ • ' .y-'.¡'i Mixteo,d,j-Jde-Febrero. -.'^ . ¿as providencias tornadas: por este Excmoí Sr. virey…</t>
  </si>
  <si>
    <t>Wellesley</t>
  </si>
  <si>
    <t>…o de Nar-. rain Row. Muerto este repentinamente fueron alternativamente nombrados peishwas los dos hijos de Ragoonauth. Al fin Rajurow fue instalado en Porah el año de 1813 por el general Wellesley , á consecuencia de su alianza con los ingleses hecha en.Bássain el 30 de Diciembre de 1802. Desde enton ces ha estado en posesión pacífica de sus estados , y hasta el año pasado se había mantenido fiel á'nuestro Gobierno, que le había auxiliado para arre—; g…</t>
  </si>
  <si>
    <t>…és se ha hecho tan ilustre, abatió y debilitó en 1814 á las potencias de la India mas hosti les á nuestro comercio y aliados; pero luego se siguió con mucha tibieza el sis tema de lord Wellesley, ó se abandonó enteramente. El marques de Hástirigs volvió á tomar la actitud dominante que conviene á un gobernador general de la India ; y he aqui cuales han sid© los .gloriosos resultados de su firme política. ,, El Príncipe márata Dowlat Rao Scindiah , qu…</t>
  </si>
  <si>
    <t>Wellíngtofi</t>
  </si>
  <si>
    <t>loó# El diá i ó del corriente pasó revísta el lord Wellíngtofi en la llanuraque hay entré Bouchain y Valencíenes á las tropas inglesas , hannoverianas y di namarquesas , que ascendían al numero de 40® hombres Antes de la revísta hicieron varias evoluciones, á las que asistieron el lord Castlereagh y el duque dé Kent. El…</t>
  </si>
  <si>
    <t>Wellington</t>
  </si>
  <si>
    <t>…ón Mounier, presidente de la comisión mixta para la liquidación de créditos extrangeros, y los embajadores de Austria y de Prusia han teni do sucesivamente varias conferencias con lord Wellington. EL Soberano Pontífice mandó hace tiempo á la congregación de Ritos, que según el uso establecido procediese á la beatificación y canonización de la venerable sierva de Dios María Clotilde Adelaida Xaviera, de Fran cia, Reina de Cerdeña, y hermana de los Reye…</t>
  </si>
  <si>
    <t>…te atentado tiene trastornada la cabeza ? y no manifiesta motivo alguno que le* haya in ducido á cometej tan gran delito. El paquebote que pasó á Calais con el objeto de esperar á lord Wellington volvió ayer á Douvres con dos edecanes de S, E., quien parece ha dife rido su salida de París hasta el 26 del corriente. FRANCIA. Parts j3 de Abril. En el Monitor de ayer se insertó un artículo importante publicado prime ramente en el periódico semanal intitu…</t>
  </si>
  <si>
    <t>…general Boyer, que fue sentenciado á muerte en 1816, y cuya pena se había conmutado en otra menos grave. El be ron Vincent, ministro de Austria, ha tenido hoy una conferencié con lord Wellington. &gt; ^ En un* periódico dé esta capital se dice que Mr. Dunoyer, ano de los edi tores del Censor, fue preso ayer y conducido á la cárcel pública. El otro editor, Mr. Conte, no estaba en casa cuando fueron á prenderle, y asi hs podido ocultarse. En 1769 se hizo…</t>
  </si>
  <si>
    <t>^73 ' ' ' -r '...FRANCIA. / - 1* / . ' - -' ' ' " 1 : . - \* • i s . . r . . París 18 de s juntó» / &lt;■ Anteayer visitó lord Wellington el palacio y el parque de Versalles, cuyas fuentes y surtidores estuvieron- corriendo por espácio de mutho tiempo parar' recrear la vista de S. E. Con este motivo se reunió úñ gran concurso de gen tes , las cuales al atravesar el noble lord los jardines* le m…</t>
  </si>
  <si>
    <t>…m peradores Francisco y Alejandro, que salieron ya de Berlín para Teñir aquí, se esperan también las dos compañías de granaderos de Hamm y Dusseldorff. Acaba de alquilarse para el lord Wellington la casa de Mr.deGuaita, pri mer burgomaestre. WURTEMBERG. Stuttgardt 18 de Agosto, Ayer hubo aqui una función del mayor ínteres coñ motivo de la instala ción del nuevo establecimiento de educación para las niñas * que ha fundado nuestra amada Reina, cuya bene…</t>
  </si>
  <si>
    <t>…n ser sujetados los hoin-r?’ bres con el terror hasta que se establezcan sólidamente otros. principios de obediencia. . FRANCIA. París 28 de Agosto. Hoy ha dado audiencia el Rey á lord Wellington, y se dice que S. E» saldrá mañana para Cambray. El Gobierno sueco ha enviado naturalistas á la Laponia con el objeto de reconocer las minas y otras producciones naturales de aquel país poco cono cido, y parece que han encontrado minas muy abundantes de cobre…</t>
  </si>
  <si>
    <t>Wellíngton</t>
  </si>
  <si>
    <t>…para asistir á una fiesta que daba en las inmediaciones de Lila el general eomandante .del contingente saxon para celebrar el jubileo del reinado de su Soberano. El 21 debió salir lord Wellíngton para Bruselas, de donde pasará á Spá, y mañana 26 estará en Aquisgraru ESPAÑA. Madrid j de Octubre* ARTICULO DE OFICIO. Concluye la lista de donativos para costear el vestuario, y demas equipo de las compañías de granaderos y cazadores de varios regimientas p…</t>
  </si>
  <si>
    <t>…El Príncipe de Hardemberg ha salido para T reverá, y piensa también ir á Saarbruk con el objeto de reconocer las minas de aquel- distrito. Se asegura que esperan en Joannisberg á lord Wellington. Carlsruhe 23 de Setiembre. Algunas disposiciones militares tomadas por nuestro Gobierno llaman en el dia la atención pública. Nuestras tropas deben estar reunidas el i.° de Octu bre, y el landwehr ha recibido orden de estar pronta para marchar. PAISES-B A JO…</t>
  </si>
  <si>
    <t>Wengenheim</t>
  </si>
  <si>
    <t>…9 de Diciembre. Se espera aquí de un dia á otro una reforma completa en los estableci mientos de instrucción publica ; siendo muy sensible que no esté encargado de este asunto! el ministro Wengenheim , sugeto de mucha capacidad. Deseoso el Rey de proporcionar á todas las clases de sus vasallos el me dio de acabar su educación sin salir del reino, ha mandado establecer en la universidad de Ttibinga una nueva cátedra de economía política. EL catedrá tico Fu…</t>
  </si>
  <si>
    <t>Wichel</t>
  </si>
  <si>
    <t>…o de Negocios dé S. Av I. ,y R.el gran duque de Toscana ; Mr. de; Bráourt chitseh, teniente coronel; los mayores Kanítz, Malachowsky y Bolanowsky;; ayudantes del Rey.de Prusia; el doctor Wichel, médico del Rey de Prusia; el príncipe de Sayn-Wirtgenstein, ministro de Policía, y primer.gentil^ hombre.de S. M. Prusiana; Mr. Scheel ,, consejero de; Guerra; Mr. Dunckec;? secretario íntimo ;de. este Monarca; el príncipe Basilio de Galitzin ; el conde Gust…</t>
  </si>
  <si>
    <t>Wilson</t>
  </si>
  <si>
    <t>…, mató en un desafio en Cowes á uno de sus oficiales, pasándole el corazón de un ba lazo. El mayor y los dos padrinos, si fueren habidos, serán juzgados como reos de asesinato. El coronel Wilson, que entró al servicio de los insurgentes en la clase de mayor general, se ha visto precisado á licenciar el mayor número de sus soldados , y á desembarcar en Deal una parte de sus oficiales. Un individuo reclutado por el coronel Tilmore para servir en su cue…</t>
  </si>
  <si>
    <t>…situado en un inar muy frecuentado y de derrota, no ha sido visto hasta el-día 11 de Agos—* to de 1815 por un convoy ingles que salid de la isla de Francia el t del mismo mes. El capitán Wilson, comandante del bergantín SwaUoWi^ sitúa la roca mas elevada de este escollo por latitud S. de 28o 20^ y 3^ 53' de ion- ; gitud oriental de París por dos cronómetros arreglados en aquella isla antes su salida. También se ha rectificado la posición del banco d…</t>
  </si>
  <si>
    <t>Wirmbs, Bartolomé</t>
  </si>
  <si>
    <t>Bartolomé Wirmbs</t>
  </si>
  <si>
    <t>…wals del embarcadero , cuándo se embarcan SS. MM. y A A. en él estanque del Real sitia del Retiro, comjpuestos se paradamente para piano y guitarra: por D. J. J. B., ygrabados por D. Bartolomé Wirmbs. Ambas obrítas constan de varias partes mayores y menores , y están funda-1 das en los sistemas modernos de los Sres. Sor y-Moreti. Se hallarán á 4 rs. cada egemplar en la librería y almacén de papel de Ortega, catle.de las Carretas, y en la guitarrería de Go…</t>
  </si>
  <si>
    <t>Witgenstein</t>
  </si>
  <si>
    <t>…dia 30 ó 31, y que permanecería unos 12 ó 15 dias. S. M; I. se dirigirá desde esta ciudad á Vie»a pasando por Weimar. '’■* ¡ . Ayerno hubo conferencias ministeriales. Idem j/. El príncipe Witgenstein, al salir de la conferencia que hubo ayer en casa del principe de Haraemberg, salió á recibir á la Emperatriz viuda de Rusia, que entrará aqui mañana. Anoche llegaron á esta ciudad el Príncipe Real de Prusia y e 1 gran Du que Miguel. Mr. de Schuweloff, primer…</t>
  </si>
  <si>
    <t>Witzleben</t>
  </si>
  <si>
    <t>…en su comitiva al duque Car los de Mecklenbourg-Strelitz, al gran escudero Jagow, á sus ayudantes de campo, al coronel Branchlsch, al mayor conde Kanitz, al mayor Malachowski, al coronel Witzleben, al consejero de Cámara Albrecht y al doc tor Wicbel, médico de Cámara y del Estado mayor; y el Príncipe Real va acompañado de su primer ayudante el coronel Schack. Luego que llegue S. M. á Rusia viajará de incógnito bajo el nombre del pasará revista a las tr…</t>
  </si>
  <si>
    <t>Wolkonsky</t>
  </si>
  <si>
    <t>…ida de 200 cubiertos en la galería de pinturas, y por la noche un baile en el salón de los caballeros. La comitiva de S. M. el Emperador se componía del general y ayudante general príncipe Wolkonsky; de los tenientes generales conde de CzernitschefF y príncipe Menzicoflf; de los coroneles Danuiewsky y Salombka, y de los médicos Willin y Ghiter. Nuestro Soberano acaba de dirigir á los defensores de la patria en los años de 1813, 1814 y 1815 la orden sigui…</t>
  </si>
  <si>
    <t>Wollzogen</t>
  </si>
  <si>
    <t>…n germánica se compondrá de los sugetos siguientes: presidente el barón de Wessemberg, ministro de Austria: individuos', por el Austria el barón de Steigentesch ; por la Prusia el general Wollzogen; por la Baviera el general de Maillot de la Treilíe; por el reino dé Saxonia el mayor de Minkewitz; por el Hannóver el general de Hinuber; por Wurtemberg el barón de Varnbuler; por Badén el coronel de Freidorf; por el Hesse electoral el coronel Oehs; por el g…</t>
  </si>
  <si>
    <t>Wood</t>
  </si>
  <si>
    <t>…das las tentativas fue el encontrar hielos lijos ó permanentes que detenían á los navegantes, ó bien hielos movibles que los hacían retroceder por el tetnor de verse cerca dos. El capitán Wood, que creía firmemente la posibilidad de un paso al N. se vió atajado á los 76o por un continente de hielo que ünia á la Nuevá¿Zembla con Spitzberg y la Groenlandia. Portel contrario , el capitán Souter continuó su viage hasta los 82o por un canal abierto y tr…</t>
  </si>
  <si>
    <t>Woronzow</t>
  </si>
  <si>
    <t>…tiene bajo su mando con los nías leales franceses en lav demostraciones de afecto á miéstro Sobérano. En la Iluminación general que Kubo en la ciu dad se distinguían las casas del'conde Woronzow y'la del comandante de lá plaza de Maubeuge; habiendo concluido la fiesta con baile y ce a, en donde se reunieron muchas personas de las dos naciones, habiéndose brindado por la salud de los Soberanos con muestras del mayor entusiasmo. . ‘ ^ . ‘.i,...-j . esp…</t>
  </si>
  <si>
    <t>Woroñzow</t>
  </si>
  <si>
    <t>…18 de Setiembre. El día 10 del pasado se verifico la revista de las tropas inglesas, dinamar quesas y sajonas en las llanuras de Denain, á la cual asistieron el teniente ge-*neral conde Woroñzow, comandante del contingente ruso ; el Príncipe de Hesse ? comandante del contingente dinamarqués; el general sajón Grabentz, el general hannoveriano conde de Alten , y otros muchos oficiales tanto del egército aliado como franceses. Al día siguiente se pusier…</t>
  </si>
  <si>
    <t>…mendicidad, cuya principal idea se reduce á establecer á los mendigos en terrenos incultos; y darles medios para labrar la tierra. El cuerpo de egército ruso, al mando del general conde Woronzow, pa sará el Rhin en Manheim , y se dirigirá después por la Francófila y laSaxouia á las orillas del Oder, desde donde se trasladará á Rusia. Van á fortificarse de nuevo las ciudades de R^stadt , Ulma y Germesheim para que sirvan de fortalezas á la Confederaci…</t>
  </si>
  <si>
    <t>Wrbna, Ladislao de</t>
  </si>
  <si>
    <t>Ladislao de Wrbna</t>
  </si>
  <si>
    <t>…e Caraman, embajador de Francia cerca de nuestra corte,ha vuelto ya de París á esta capital. Idem s&gt;. Las cartas de Rio-Janeiro dicen que el 17 de Agosto llegó á aquella cor te el conde Ladislao de Wrbna, que fue enviado de Vieoa para anunciar á la corte del Brasil la celebración del matrimonio por poderes de S. A. I. la Archiduquesa Leopoldina con el Príncipe Real de Portugal. Idem 11. Se habla en esta capital de varias novedades importantes. Una de ellas es…</t>
  </si>
  <si>
    <t>Wúrtemberg, Duque Fernando de</t>
  </si>
  <si>
    <t>Duque Fernando de Wúrtemberg</t>
  </si>
  <si>
    <t>…S. M. .el Emperador del gobierno del Austria. Se da por cierto que S. M. el Emperador saldrá de Viena el 13 del mespróximo, y que irá en derechura de Francfort á Maguncia. El feld-mariscal Duque Fernando de Wúrtemberg, gobernador militar del Austria, que desde el mes de junio reside en Saltzburgo, se halla quebrantado de salud, y se asegura que ha pedido un año de licencia para ir á Niza y al mediodía de la Francia. Si esto se verifica, la duquesa su esposa, que es herma n…</t>
  </si>
  <si>
    <t>Wurtemberg, Fernando de</t>
  </si>
  <si>
    <t>Fernando de Wurtemberg</t>
  </si>
  <si>
    <t>…no ha resuelto ir hasta Cáttaro en donde se hacen grandes preparativos pa ra recibirle; que el i.° de Julio se hallarás.M. en,Badén, y que no volverá hasta el 27 del corriente. El duque Fernando de Wurtemberg: ha vuelto ár Saltzburgo con 'su esdo•a sin ir á Carlsbad; y se dice que á pesar del incendio que ha reducidor cenizas una gran parte dei aquella ciudad ,, fijará alli su restdencia provisiDUaimente r siriíque:se sepa; si deja á .Viená; ya pará skknpre , ó si…</t>
  </si>
  <si>
    <t>…Carlstatt, adonde habían llegado el 21. El ministro de Prusia cerca de nuestra corte Mr. de Krusemark ha salido •de. aquí para Carlsbady en donde se detendrá algunos dias. El feld-mariscal Fernando de Wurtemberg ;ha fijado por. ahora: su 'resi dencia en Saltzburgo, y la duquesa, su esposa acaba' de llegar aqui á visitar á su padre el príncipe Metternich, nuestro ministro de Negocios extrangeros, cuya quebrantada salud no deja de dar algun cuidado. La sociedad general…</t>
  </si>
  <si>
    <t>Xa, Josef Francisco de</t>
  </si>
  <si>
    <t>Josef Francisco de Xa</t>
  </si>
  <si>
    <t>…n pendientes los autos principiados á instancia de D. Francisco de Ayala, teniente coronel de los Reales egércitos , y vecino y regi dor perpetuo de la ciudad de Málaga, contra el Sr. D. Josef Francisco de Xa vira*</t>
  </si>
  <si>
    <t>Xavier, Francisco</t>
  </si>
  <si>
    <t>Francisco Xavier</t>
  </si>
  <si>
    <t>…Herrera,y legítimo administrador de las per sonas de sus hijos menores D. Pedro Antonio María y Doña Hemeteria Ignacia de Valdivieso y Puente; é igualmente al curador que tuviese D. Francisco Xavier de la Puente Herrera, otro hijo de los expresados D. Josef Joaquín y Doña Ana María de Herrera, que era mudo de nacimiento, y en su defecto al que se le crease por la justicia de su domicilio; y asimismo á D. Josef Roque y D. Santiago de Herrera Cevallos, otr…</t>
  </si>
  <si>
    <t>Xi, Francisco</t>
  </si>
  <si>
    <t>Francisco Xi</t>
  </si>
  <si>
    <t>…lovento, la que estaba interceptada por la inter posición de los enemigos en Cariaco, no puedo menos de reiterar á V. E. la re comendación que le hice el 17 del actual á favor del coronel D. Francisco Xi menez, y de su segundo el teniente coronel graduado D. Juan de Armas, su plicándole sea extensiva al subteniente de milicias de pardos de Campano Ja cinto Valdivieso, y del padre capellán D. Mariano Perez, por la particular que me hace de estos dos últimos el…</t>
  </si>
  <si>
    <t>Xilnd, Antonio</t>
  </si>
  <si>
    <t>Antonio Xilnd</t>
  </si>
  <si>
    <t>…Cadlza la de D. Antor nio Xi meno , del comercio de Sevilla, se suplica al sugeto en cuyo poder 'párage' .se _sirfa,e?tr~g~r1o ~ M"llddd,tlps ~res. Pi~illos y.Perez; en Sevilla á D. Antonio Xilnd~ ,no t y en Cádiz á D. Nicolas de la Herran; p~eviniéndose, 'para eyitar su circu1acio~ ,9,ue será detenido en cualqtliera~e l~s co;m.isi~n~s de~ rein~ do,?de se p:esent~, ,,' i Se hall .. :vacante para p~o~ec,rse por OpOSlCl0n el magisterio de prll:neras let…</t>
  </si>
  <si>
    <t>Ximenez</t>
  </si>
  <si>
    <t>…te aparece ocupaban á Cariaco con una fuerza bastante superior á la nuestra que los atacó: én este concepto, y en el de que con la toma de aquel punto ha desconcertado él referido coronel Ximenez los planes del enemigo, poniéndoles en el estado im potente de emprender nuevas operaciones sobre los demas que están ocupados por las armas ael Rey, y asimismo poner expedita la comunicación de esta plaza con los partidos de Barlovento, la que estaba interce…</t>
  </si>
  <si>
    <t>Ximenez, Francisco</t>
  </si>
  <si>
    <t>Francisco Ximenez</t>
  </si>
  <si>
    <t>…mas del egército, y asegurar el paso hasta el rio de la ciudad , adelantan do hasta él sus tiradores. Esta columna estaba mandada por el teniente coro nel del batallón de Clarines D. Francisco Ximenez , y se componía de parte de su batallón y de las compañías de cazadores de la Union y de la Reina. „Los enemigos luego que nos observaron guarnecieron sus fortificaciones, y coronaron de gente los altos cerros en que tienen sus baterías, que es don de se refu…</t>
  </si>
  <si>
    <t>…e, siguiendo su marcha á Juan Griego, de caminar algún trecho bajo sus fue gos. Entonces creyó oportuno facilitar el paso, y ordenó al comandante del batallón de Clarines teniente coronel D. Francisco Ximenez, que mandaba los cazadores, tomase con su columna á la bayoneta aquel punto, natural mente fuerte, y previno al comandante del segundó batallón deGranada que protegiese la operación. Todo se verificó con el mayor suceso, y en muy pocos momentos quedamos poses…</t>
  </si>
  <si>
    <t>…erra ha re cibido el siguiente oficio del teniente general D. Pablo Morillo con el parte que le acompaña: „ Excmo. Sr.: Remito á V. E. el adjunto parte que me ha dado el te niente coronel D. Francisco Ximenez, comandante del batallón de Clarines, por el que se enterará V. E. de la bizarría con que las tropas que están á su mando se han apoderado de la ciudad de Giiiria y de toda la costa con grande pérdida del enemigo; no pudiendo menos de recomendar á V. E. á est…</t>
  </si>
  <si>
    <t>…n de granaderos D. Juan de Lo bo, el teniente D. Ventura Salgado, y los subtenientes D. Pedro Fernandez . y D. Angel Loño; del.de húsares también contuso de bala de cañón el porta D. Francisco Ximenez.</t>
  </si>
  <si>
    <t>876 . . general Morillo de "haber fallecido de resultas de sus heridas el benemérito co ronel D. Francisco Ximenez. En virtud de providencia del Sr. D. Francisco Cándido dé Paz, del Consejo de S. M., y alcalde de su Real Casa y Corte, dada en 7 del presente, se ha mandado sacar á publica subasta por término de 15 días, contados desde la publicación de este aviso , una cas…</t>
  </si>
  <si>
    <t>Ximenez, Josef</t>
  </si>
  <si>
    <t>Josef Ximenez</t>
  </si>
  <si>
    <t>…gocios que fue de esta corte, sus hijos ó herederos, para tratar asuntos de la mayor importancia: darán razonen la misma calle y casa. , Se desea saber el paradero ó existencia de D. Josef Ximenez y D. Alberto Mo reno , que dijeron ser vecinos de la ciudad de Córdoba, como, también el de Don Juan Antonio Ruiz, que en el año de 1809 residía en la ciudad de Murcia. Quién tuviere noticia de dichos sugetos se servirá avisarlo á D. Francisco Vittini Villamarin , oficiaL en…</t>
  </si>
  <si>
    <t>Ximenez, Josef Ignacio</t>
  </si>
  <si>
    <t>Josef Ignacio Ximenez</t>
  </si>
  <si>
    <t>…a, y cadete D. Nicolás Gutiérrez. Dragones de Querétaro: alféreces D. Josef Frias, D. Manuel Arre ta y D. Mauro Camocho. Dragones deS. Carlos: capitán D. Domingo ligar te y portas D. Josef Ignacio Ximenez y D. Pedro Alarcon. Fieles del Potosí: capitán graduado D. Mariano Guardiola. Realistas de Apan: capitán D. Joa quín Espinosa y D. Antonio Ortiz, teniente D. Josef Ponce y alférez Don Rafael Salinas. „ También recomiendo á V. S. muy particularmente á mis ayudantes capitán gradu…</t>
  </si>
  <si>
    <t>Ximenez, Pedro</t>
  </si>
  <si>
    <t>Pedro Ximenez</t>
  </si>
  <si>
    <t>…tuada en la corredera alta de San Pablo, esquina á la de S. Josef, núm. 1, manz. 454, tasada en 82500 rs. Quien quisiere hacer postura acuda , que se le admitirá siendo arreglada. D. Pedro Ximenez, natural de Echo, corregimiento de Sos en Aragón, sar gento i.° del regimiento de Reales Guardias Españolas, murió intestato el dia 14 de Noviembre de 1817. Los sugetos que se juzguen con derecho á los cortos habe res que ha dejado acudirán á exponerlo con lo…</t>
  </si>
  <si>
    <t>Ximenez, Ramón García</t>
  </si>
  <si>
    <t>Ramón García Ximenez</t>
  </si>
  <si>
    <t>…siendo arregladas. En virtud de providencia del Sr. D. Joaquín de Almazan y Ximeno, del Con sejo de S. M., teniente primero de corregidor de ésta muy heroica villa, refrendada del Sr. D. Ramón García Ximenez , escribano del número dé la misma, se ha mano dado convocar á junta general á todos los acreedores hasta ahora presentados, y que aun no lo hubiesen egecutado, á la testamentaría de Diego Gómez de Clemente , ve cino y labrador que fue en el lugar de Alcorcon…</t>
  </si>
  <si>
    <t>…mi nistraciones principales y agregadas de correos. En virtud de providencia del Sr. D. Joaquín de Almazan, teniente primero de corregidor de esta muy heroica villa, refrendada de D. Ramón García Ximenez, es cribano del número de la misma, se ha mandado convocar á junta general á todas los acreedores é interesados en la testamentaría y concurso de Diego Gómez de Cle mente, vecino que fue del lugar de Alcorcon, de esta jurisdicción, señalando par* su celebraci…</t>
  </si>
  <si>
    <t>Ximenez, Rodrigo</t>
  </si>
  <si>
    <t>Rodrigo Ximenez</t>
  </si>
  <si>
    <t>…, D. Mel chor de Macanaz, Fr. Francisco Ximenez de Cisneros, Vasco Nunez de Valboa, D. Josef Carrillo de Albornoz, y Hernando de Alarcon; ix. Juan de Torquemada, Hernando de Soto, D. Rodrigo Ximenez, Sto. Tomas de Villanueva, Diego Gar cía de Paredes, y Francisco Pizarro. (Se continuarán.') En virtud de providencias del Sr. D. Martin de Gaztañaga, del Consejo de S. M., su alcalde de Casa y Corte, refrendadas del escribano de proinncia y comisiones de la…</t>
  </si>
  <si>
    <t>Ximeno, Antonio</t>
  </si>
  <si>
    <t>Antonio Ximeno</t>
  </si>
  <si>
    <t>…tribuyeron á los sügetos si guientes: D. Lúeas Escribano, D. Josef Larrea, D. Raimundo Lecina , Doii Vicente Higueras y D. Pascual Vicente. Fue también considerado digno de premio D. Antonio Ximeno; y mientras el muy ilustre gobernador dió á cada uno su premio, la música cantó unas letrillas en honor de los premiados. Dió en fin las gracias al muy ilustre ayuntamiento y al auditorio D. Manuel Higueras. AL dia siguiente por la tarde el R. P. Fr. Pedro Go…</t>
  </si>
  <si>
    <t>Ximeno, H. Joaquin Almazan y</t>
  </si>
  <si>
    <t>H. Joaquin Almazan y Ximeno</t>
  </si>
  <si>
    <t>…o señor alcalde y precitada escribanía de provincia; apercibidos de que pasado dicho término sin haberlo hecho les parará el perjuicio que haya lugar. En virtud de providencia del Sr. H. Joaquin Almazan y Ximeno, del Consejo de S. M., teniente corregidor de esta muy heroica villa, refrendada de D. Pascual Se co, escribano Real .y del número de ella, se ha mandado .sacar á pública subasta por término de 30 dias un^campo en el término de la fiudád de Zaragoza , y parti…</t>
  </si>
  <si>
    <t>Ximeno, Joaquín Almazan y</t>
  </si>
  <si>
    <t>Joaquín Almazan y Ximeno</t>
  </si>
  <si>
    <t>…n lugar conveniente para satisfacer la curiosidad pública hasta que se veri fique el ascenso de su hija; lo que se avisará por los papeles públicos y carteles. Por prpvídencia del Sr. D. Joaquín Almazan y Ximeno, del Consejo de S. M., teniente de corregidor de esta corte, se cita y emplaza á las personas interesadas en Ja herencia de Dona Ramona de la Azuela, hija de D. Joseí y de Doña Teresa Villamon, difuntos, vecinos del lugar de Viergol, en el Real valle de Mena,…</t>
  </si>
  <si>
    <t>Ximeno, Joaquín Almszan y</t>
  </si>
  <si>
    <t>Joaquín Almszan y Ximeno</t>
  </si>
  <si>
    <t>…tato en esta corte D. Domingo Antonio Suarez el dia 21 de Setiembre de i8c6, han acudido sus cuatro hijos D. Joaquín, D. Miguel, Doña María Dolores y D. Juan Suarez al juzgado del Sr. D. Joaquín Almszan y Ximeno, del Consejo de S. M., teniente primero de corregidor de esta muy heroica villa, por la escribanía del número de D. Tomas de Sancha y Prado, en solicitud de.que se les declare'por herederos de su padre; y S. S., por auto de 21 del pasado, ha tenido 4 bi¿n man…</t>
  </si>
  <si>
    <t>Ximeno, Joaquín de Almazan y</t>
  </si>
  <si>
    <t>Joaquín de Almazan y Ximeno</t>
  </si>
  <si>
    <t>Por el juzgado del Sr. D. Joaquín de Almazan y Ximeno , del Consejo de S. M., teniente corregidor de esta muy heroica villa, y escribanía de D. Casimiro Anto nio Gómez, se subasta con Real facultad por término u¿ 30 dias, contados desde .el 3 1 de Enero último, una casa en esta corte, situada en la corredera alt…</t>
  </si>
  <si>
    <t>…, acudan ante el citado señor juez y es cribanía del número de D. Bernardo Díaz de Antoñana, donde se admitirán las que se hicieren siendo arregladas. En virtud de providencia del Sr. D. Joaquín de Almazan y Ximeno, del Con sejo de S. M., teniente primero de corregidor de ésta muy heroica villa, refrendada del Sr. D. Ramón García Ximenez , escribano del número dé la misma, se ha mano dado convocar á junta general á todos los acreedores hasta ahora presentados, y que aun…</t>
  </si>
  <si>
    <t>…n decadencia. También quiere evitar ía mendiguez pú blica , por ser origen de muchos males , y dar educación á la juventud pobre, á fin de hacerla partícipe de la cultura general. D. Joaquín de Almazan y Ximeno, del Consejo de S. M., teniente corregidor de esta muy heroica villa, por el presente hago saber: que por mi juzgado y escri banía del número de D. Miguel Gonzalo se halla radicada la testamentaría que se formó con motivo del fallecimiento de D. Fernando de H…</t>
  </si>
  <si>
    <t>Ximéno, Joaquín de Almazan y</t>
  </si>
  <si>
    <t>Joaquín de Almazan y Ximéno</t>
  </si>
  <si>
    <t>….; y un solar en la ciudad de Burgos , barrio de S. Estéban, tasado en 3102 rs. y iymrs. Quien quisiere hacer postura á las expresadas fincas, ó cualquiera de ellas, acuda ante el Sr. D. Joaquín de Almazan y Ximéno, del consejo de S. M., su alcal de de casa y corte, y escribanía de D. Casimiro Antonio Gómez, que se le admitirá la que hiciere siendo arreglada. Por providencia del juzgado de esta capitanía general de Castilla la Nueva, y para pago de acreedores, se ha man…</t>
  </si>
  <si>
    <t>Xinaeno, Joaquín de Almazan y</t>
  </si>
  <si>
    <t>Joaquín de Almazan y Xinaeno</t>
  </si>
  <si>
    <t>…e' su mañana en la posada de S. S.; lo que se hace saber, á ios propios acreedores pa-, ra la concurrencia,prevenidos que de no verificarlo les parará el perjuicio que haya lugar. D. Joaquín de Almazan y Xinaeno , del Consejo de S. M., teniente primero de corregidor de esta muy heroica villa, por el prjsseñte^ hago saber : que por mi juz gado , y escribanía del número de D. Miguel Gonzalo, penden autos de concurso de Eugenio Pingarron, vecino que fue del lugar de Car…</t>
  </si>
  <si>
    <t>XJgarte, Josef</t>
  </si>
  <si>
    <t>Josef XJgarte</t>
  </si>
  <si>
    <t>…protegida por mi guardia de honor que sostuve, acompañado de mi mayor general teniente de fraga ta D. Josef María Butrón, el subteniente D. Luis Vilches, y el de la misn ma clase D. Josef XJgarte: en esta forma emprendí mi retirada con el ma-* yor orden , y solo tres cañones que hice conducir tirados por mis soldados, sin saber donde dejaron el otro los mismos que lo servían, siendo cargado en ella por todo el grueso del egército enemigo desde el mism…</t>
  </si>
  <si>
    <t>Xoeches, Jacinto Gaona y</t>
  </si>
  <si>
    <t>Jacinto Gaona y Xoeches</t>
  </si>
  <si>
    <t>…e eL .21 del corriente, á la audiencia del Sr. D. Manuel Josef Rubio, del Consejo de S, M., y teniente de corregidor de está tnuy heroica villa , y por la‘escribanía del numero de D. Jacinto Gaona y Xoeches. , ’ ^ Ensayo práctico de simplificar el estudio de las lenguas escritas , verificado sobre la inglesa para egemplo de tpdas las demás, por el coronel D. Josef González Toeres de Navarra: tercera edición- hecha en 1799. Véndese á 12 rs. en el despacho de la i…</t>
  </si>
  <si>
    <t>Ya, Josef María</t>
  </si>
  <si>
    <t>Josef María Ya</t>
  </si>
  <si>
    <t>…. Manuel Gómez. El 17 á las seis de la mañana me dirigí, según lo prevenido, para el Alahuixtlan, dividiendo mi tuerza en dos trozos, el uno á mi inmediato mando, y el otro al del teniente D. Josef María Ya ñez, tomando los caminos de ¿s. Simón y Sta. María, por si el enemigo in fernaba fugarse por ellos ames que el teniente coronel D. Manuel Gómez llegase á atacarlos; mas en vista de que no oía rumores ni tiroteos, me fui acercando á las fortificaciones enemiga…</t>
  </si>
  <si>
    <t>Yañéz</t>
  </si>
  <si>
    <t>…des paché al capitán Rodríguez con seis hombres para que le diese parte *á-este gefe del punto que yo ocupaba ; y viste que se dilataba dejé dispuesta mí columna á las órdenes del teniente Yañéz, mientras yo pasaba á tomar las necesarias dé Gómez, y encontrando la tropa á media calle del pueblo, y que se dirigía con violencia á la fortificación del cementerio, inmediatamente se bajó de su puntó eí teniente Yañez cón su fuerza, y tomando la misma call…</t>
  </si>
  <si>
    <t>Yañez</t>
  </si>
  <si>
    <t>…cesarías de Gómez; y encontrando la tropa á inedia calle del pueblo, y qué. i^dirigi^; jeon violencia á; la f rtifiqaciqn “del cefpenterío, inm« di^raménte. se bajó de su punto el teniente Yañez con su fuerza , y tomando la misma calle trató de reunirse, lo que^eiificq:rpvn\ñ^tdor el^fuegotpp/ ^ñn.bas partes, y forzando los parapetos enemigos. Visto esto por et teniente D IgnacioPrie to, que con los- aíféreces,,.I&gt;r' de la iGruz,iy;.1PvAgustijv Mpra…</t>
  </si>
  <si>
    <t>Yañez, Josef María</t>
  </si>
  <si>
    <t>Josef María Yañez</t>
  </si>
  <si>
    <t>…á las cua tro de la tarde con 56 dragones de la segunda y quinta compañía del Poto sí, y 44 de la primera y segunda del primer escuadrón del Sur con los ofi ciales de los primeros teniente D. Josef María Yañez, y alféreces D. Felipe Flores y D. Ramón de la Cruz; y de los segundos teniente D. Ignacio Prie to, y alféreces D. Ignacio Narvaez y D. Agustín Mora, con cuya fuerza me dirigí por el rumbo de Zimatepec, acampando en las lomas del Capire» El 16 por la mañana e…</t>
  </si>
  <si>
    <t>Yarza, Josef</t>
  </si>
  <si>
    <t>Josef Yarza</t>
  </si>
  <si>
    <t>…o López sobre la resolución de los triángulos rectilíneos y su utilidad; D. Miguel Garcés de las leyes del equilibrio, y ventajas que adquiere la potencia con las máquinas. Dia4.° Don Josef Yarza acerca del origen y fundamento del cálculo diferencial; D. Pe dro García sobre la utilidad del cálculo numérico. , Fue suma y general la satisfacción de todo el concurso viendo la expedi ción , propiedad de lenguage y precisión, como también la inteligencia y…</t>
  </si>
  <si>
    <t>…otra igual medalla de plata, y las obras de mate máticas de Vallejo y Lacroix: que atendido el buen desempeño de los res tantes, se habia dispuesto recompensar á D. Nicasio López, D. Josef Yarza y p» Anacleto Toron con un egemplar á cada uno de la obra del Vallejo, y á D. Mariano Pinos, D. Miguel Garcés y D. Pedro García con otro de la de Lacroix, cuyas obras ricamente encuadernadas en pasta tenían en la cubierta una leyenda que decía: la Real Socied…</t>
  </si>
  <si>
    <t>Yermoloff</t>
  </si>
  <si>
    <t>…inqúese conformen con las palabras de h santa escritura: „Tributar siempre honor al Rey eterno, inmortal, invisible, al Dios solo sabio.” Pe ters burgo 2 de Diciembre. El teniente general Yermoloff ha vuelto de su embajada á Persia. El 22 de Octubre llegó á Tiflis, donde fue recibido por los habitantes con mucho agasajo. El invierno ha principiado con grande rigor. El Neva está helado hace algunos dias, y ofrece un camino sólido á los trineos y demas ca…</t>
  </si>
  <si>
    <t>Yévcncír, Alfonso de</t>
  </si>
  <si>
    <t>Alfonso de Yévcncír</t>
  </si>
  <si>
    <t>…jurisdicción dé, lá ¿iudád de Altaraz, tasacíá'én 3 20^ ^$. vn.1 Quien quisiere ha^ét póstura acuda por él juz\ gado de dicho señor teniente y ékribanfo del riuiíiérB dél cafgo de D. Alfonso de Yévcncír, que se le admitirá siendo arreglada: ------- - “</t>
  </si>
  <si>
    <t>Yorck</t>
  </si>
  <si>
    <t>…las misraas^apitulaciones. ' GRAN BRETAÑA. 'V,.. Londres 2?, de Abril. ' En el día se está egecutando en Roma, bajo la dirección del célebre Cairova, un monumento á la memoria del cardenal Yorck, último descendien te de la desgraciada casa de Stuardo, Cuando en 1815 el Príncipe Regente por medio de lord Castlereagh puso á disposición de Canova, que á la sazón se hallaba en París, 250© francos para pagar el trasporte á Roma de los ob jetos de las arte…</t>
  </si>
  <si>
    <t>Yussopoff</t>
  </si>
  <si>
    <t>…ríncipe reciennacido, á quien llevará en sus brazos la condesa de Lleven, dama de honor, teniendo á su lado al general de caballería conde Tormasoff, y al consejero privado actual príncipe Yussopoff , que llevarán el al mohadón y el velo. El; duque de: Wurtemberg Alejandro, la duquesa Antonia y la Princesa María.</t>
  </si>
  <si>
    <t>Zadoundsky, Románzoff</t>
  </si>
  <si>
    <t>Románzoff Zadoundsky</t>
  </si>
  <si>
    <t>…mas á propósito para que den á la posteridad la idea conveniente del agradecimiento de la patria, mandamos lo que sigue;. ,, El obelisco dedicado á las victorias del feld-mariscal conde Románzoff Zadoundsky se trasladará á la plaza del primer cuerpo de los cadetes, á fin de que los discípulos de aquella casa de enseñanza , en donde principió sus es tudios el héroe Zadounaisky tengan su imagen á la vista. El monumento del feld-mariscal Sowaroff-Italisk se traslad…</t>
  </si>
  <si>
    <t>Zafra, Antonio Saiz de</t>
  </si>
  <si>
    <t>Antonio Saiz de Zafra</t>
  </si>
  <si>
    <t>…s autoridades, pár rocos, prelados regulares, con otras personas de la primera clase. Hizo la ins talación el señor intendente de esta Provincia, segundo director de este cuer po, D. Antonio Saiz de Zafra, con un enérgico discurso, demostrando la uti-</t>
  </si>
  <si>
    <t>Zafra, Josef Hermenegildo de</t>
  </si>
  <si>
    <t>Josef Hermenegildo de Zafra</t>
  </si>
  <si>
    <t>…a fuente. Colección de muestras para aprender á escribir el carácter bastardo, compuesta de 14 láminas por el orden y método mas sencillo que prescribe la enseñanza: es critas por D. Josef Hermenegildo de Zafra, profesor de primera educación, é indir viduo del Real colegio académico de primeras letras. Se hallará en Madrid en la libre ría de Gila, calle de las Carretas; y en el almacén de papel de Bueno, calle del Carmen: en Zaragoza en la librería de Monge, y en Ba…</t>
  </si>
  <si>
    <t>…o D. Teodoro Salvador Cortés y D. Juan Manuel del Val le $nbre &lt; cuántas son las letras de nuestro alfabeto; cuál su uso, y si se podrán reducir á menor número? El dia 29 de Junio D. Josef Hermenegildo de Zafra y D. Manuel Bailes^ teros sobre ¿ qué relaciones tiene la urbanidad con la educacioú moral, y có mo se enseñarán á los niños en nuestras escuelas 1 En los meses de Octubre, Noviembre, Diciembre, Enero y Febrero se empezarán las academias á las diez en punto de la mañana, y en l…</t>
  </si>
  <si>
    <t>Zaldarriaga, Juan Tomas</t>
  </si>
  <si>
    <t>Juan Tomas Zaldarriaga</t>
  </si>
  <si>
    <t>…Espi no y D. Juan Ribero 20 , D. Félix López 2c, D. Juan Nepomuceno Be llo 30, D. Víctor Lerin 15 , D. Juan Josef Fuertes 10, D. Antonio Oramas 10, D. J osef Pacanis y Nicolau 10, D. Juan Tomas Zaldarriaga 10} D. Josef Ignacio Tsquiagav 2o , D. Rafael Minteguiaga 15, D. Ramón Go mia 10, D. Josef Ramón Zozalla 2, D-&gt; Jaime Mas 8, D. Martin de Irrgo•yen 8 , D.; Juan:.Gcrd.il.' d, D¿ tMiguel Antonio Oyarzabal 6 , D. Joaquín/ Emazabei 4, D. Antonio Delgado 4 , D. V…</t>
  </si>
  <si>
    <t>Záldivar, Juan Francisco</t>
  </si>
  <si>
    <t>Juan Francisco Záldivar</t>
  </si>
  <si>
    <t>…ese inmóvil hasta llegar la infantería. En estos choques y reen cuentros , producidos de las varias cargas que hicieron dichas partidas , tuve la desgracia de haber sido muerto el capitán D. Juan Francisco Záldivar, de los realistas de Rioverde, incorporado en los dragones de Sierragorda, quien por un exceso de su arrojo y bizarría pereció gloriosamente. ,5, Para principiar el fuego de las guerrillas precedió el reconocimiento de bido ; y practicado luego que lo permiti…</t>
  </si>
  <si>
    <t>Zaldivar, Justo</t>
  </si>
  <si>
    <t>Justo Zaldivar</t>
  </si>
  <si>
    <t>…pos á que pertenecen. ,,Del batallón de Zaragoza: capitán D. Manuel Velazquez , tenientes Don Josef Colomer y D. Pedro Salvador de Pazos, subtenientes D. Manuel San* chezTreviño y D. Justo Zaldivar. Del primero Americano: teniente coronel graduado D. Cristóbal Tenorio, capitán D. Josef Polledo, teniente D. Patri cio Ange y D. Miguel Tejeiro , subtenientes D.'Juan Perez y D. Juan Josef Reviila. De la Corona : teniente D. Ignacio Valiente. De Frontera: te…</t>
  </si>
  <si>
    <t>Zamácola, Juan Antonio</t>
  </si>
  <si>
    <t>Juan Antonio Zamácola</t>
  </si>
  <si>
    <t>…balternos, para instrucción de los jóvenes que se de dican al estudio de las leyes y enseñanza de los escribanos, litigantes, procuradores, agentes, y demas oficios del Estado por D. Juan Antonio Zamácola: esta obra .es la mas completa de cuantas se ban escrito hasta ahora para instrucción de los jóve nes que aspiran al respetable empleo de la magistratura y de los escribanos, procura dores, dependientes y subalternos dé todos los tribunales del reino: dos tom…</t>
  </si>
  <si>
    <t>Zamácola, Ramona de</t>
  </si>
  <si>
    <t>Ramona de Zamácola</t>
  </si>
  <si>
    <t>…ecretario capitular D. Nicolás González de Peñalba., . , Si alguna persona tiene noticia del vitalicio de segunda hipoteca, núm. 2250, importante su capital 24334 rs. en cabeza de Doña Ramona de Zamácola, que se cree extraviado; en la casa núm, 4, cuarto principal, puerta del Sol , al tiempo que iSe incendió en 17 de Alprií de i$i5,^dará razón al Sr. D. Joaquín Almazan.,, del .Consejo de S. M., teniente corregidor de esta muy heroica villa, que está^enténdién…</t>
  </si>
  <si>
    <t>Zamora, Josef</t>
  </si>
  <si>
    <t>Josef Zamora</t>
  </si>
  <si>
    <t>…Felipe Guillen, y agregado D. Mariano Miqueley, alférez graduado d^ - .rnañ'D. Josef María Peña , poirta graduado dé teniente D. Mariano Teran, porta D, Benito Fernandez y cade:e!D. Josef Zamora. De Nueva-Vizcaya: capitán D. Josef María Móreno y\alféreces' D. Justo Escudero y D. Lazaré Ariñendariz. Dragones de Sieffagorda: teniente coronel graduado D. Cristó bal Viilaseñbrcapitanea graduados D. josef García Mirin y D. Nicolaos</t>
  </si>
  <si>
    <t>…odo loj cual, presenté á^y. S.^A¡ mi llggaday menorías frioleras de que se apro vechó la tropa. Por nuestra parte no hubo otra desgracia que haber muerto el realista de esa ciudad D. Josef Zamora , y quedar herido levemente el cabo de mi regimiento Jesús García. : , ; ,, Todos .los, oficiales con ;$u$ . respectivos piquetes ,, y, el cadete D. Josef Antonio Viqtor. del .Raso ,j.jds- Sierragorda-, se distinguieron particularmente* .cuyo .mérito recomien…</t>
  </si>
  <si>
    <t>Zamora, Josef de</t>
  </si>
  <si>
    <t>Josef de Zamora</t>
  </si>
  <si>
    <t>…endo manifestado SS. MM. deseos de ver á los señores alumnos honorarios, salieron al frente los Excmos. Sres. duque de Ferhandina y marques de Alca lices , el capitán de coraceros D. Josef de Zamora y el Sr. D. Josef Colon, los cuales, después de haber contestado á varias lecciones teóricas que les hizo el director, trabajaron á caballo, manifestando S. M. á cada paso su particular inteligencia y su gusto en estos egercicios tan propios de la nobleza esp…</t>
  </si>
  <si>
    <t>Zamora, Luis Manuel</t>
  </si>
  <si>
    <t>Luis Manuel Zamora</t>
  </si>
  <si>
    <t>…te dicho Excmó. Sr. go bernador. Distrito de Motril. Prijher gefe el Excmo.,Sr. gobernador conde de Ibeagh , mariscal de cam po, de dos Reales egércitos ; segundo gefe el teniente coronel D. Luis Manuel Zamora. . -¡ ? ; E^te distrito;se subdividirá en dos partidos, al cargo de igual numero de capitanes, que se colocarán en los parages que gradúe oportuno el indicado Excmo. Sr. gobernador. , r • ' ■ : - d: . Distrito de Almería. •*; Primer gefe el coronel' D.' Cárme…</t>
  </si>
  <si>
    <t>Zamorategui, Juan</t>
  </si>
  <si>
    <t>Juan Zamorategui</t>
  </si>
  <si>
    <t>…por la lluvia y oscuridad de la noche. ,,El 15 emprendí mi marcha con dirección á Malinalcó, donde por las noticias que tenia , y las que me comunicó el comandante de aquel punto D. Juan Zamorategui y di orden que el referido capitán Fuentes con el alfé rez Rueda y 30 urbanos , en unión de dicho Zamorategui y i&amp; realistas, sa liese á las 10 de la noche por camino oculto á las pastorías de Qcuila, guiardos por-3 indblrádós y-úna nieger vestida de.hombre q…</t>
  </si>
  <si>
    <t>…recomendar á la consideración de V. E. el mé rito que han contraído los capitanes Fuentes, González y el alférez Rueda/ del escuadrón Urbano; el capitán de realista^ de Malioalco D. Juan Zamorategui, que por sus conocimientos prácticos y eficacia ha contribuido al éxi to conseguido; al capitán Mayoli, que ha desempeñado exactamente todas las funciones de ayudante , y al administrador de Jaímolonga Salazar, que con el mayor entusiasmo se decidió á acompañ…</t>
  </si>
  <si>
    <t>…. para su satisfacción. &gt; ' 1 ,,Dios guardé á V. E. muchos años. Toluca Abril 17 de 1818. = Excmo. Sr. = Nicolás Gutiérrez. == Excmo. Sr. virey D. Juan Ruiz de Apodaca.” Parte del capitán D. Juan Zamorategui. ,, En debido cumplimiento á las órdenes verbales que él día de ayer por la mañana se sirvió V. darme en él pueblo de Ocuila , marché dé éste con direccion'-á los parages -nombrados el Agua bendita y Minas viejas’en solicitud dé la gavilla de Chano ó Charróqu…</t>
  </si>
  <si>
    <t>Zapata, Alfonso Gómez</t>
  </si>
  <si>
    <t>Alfonso Gómez Zapata</t>
  </si>
  <si>
    <t>…üedades griegas y romanas, con un tratado para el co nocimiento de las monedas griegas y romanas, y otro del modo que tenian los la tinos de contar los días de los meses: su autor D. Alfonso Gómez Zapata: quinta edición 1 un tomo en 8.° Se hallará en la librería de Hurtado, calle de las Carretas: su precio 10 rs. en pergamino y 12 en pasta. Tratado y nuevo método curativo de las enfermedades gotosas y reumáticas: por el célebre P. J. Bartéz, individuo de! Ins…</t>
  </si>
  <si>
    <t>…an Joaquín de Novales ,patrono de las memorias que¡&amp;n&lt;ÍÓrJu..3q Jferirero, Antóniq y Lorenzo ^Sastre * I&gt;./Pedro Ilundain , uno ;de ios ^eté^eros/íde-Eb Juan Fa,cundo Domínguez, y D. Alfonso Gómez Zapata, preceptor eje gramática en,esta corte, para que en el término de 30 dias, contados desde el de su' anuncio en este periódi co, comparezcan por ¡medio de procurador con .suficiente poder á decir en dichos autos en razón de la expresada venta, ó lo demas que t…</t>
  </si>
  <si>
    <t>Zapata, Ignacia de Serón y</t>
  </si>
  <si>
    <t>Ignacia de Serón y Zapata</t>
  </si>
  <si>
    <t>…gnacio López de Cárdenas, que por el año de 1779 residía en América empleado de cabo de visita de la Real renta de tabaco en la ciudad de Oajaca, reino de México, ó el de su muger Doña Ignacia de Serón y Zapata, ó el de sus hijos y descendientes legítimos, se servirá comuni carlo á Doña Rosalía López de Cárdenas, hermana del D. Cristóbal, residente en la ciudad de Montoro, obispado de Córdoba, en Andalucía, pues hallándose de muy avanzada edad desea hacerles entrega…</t>
  </si>
  <si>
    <t>Zarate</t>
  </si>
  <si>
    <t>…n pérdida por ambas partes, no estando la brecha bastante practicable, ni pudiendo superar los fuegos y defensas que opusieron los rebeldes, habiendo muerto entre ellos el llamado coronel Zarate, uno de ios desembarcados con el traidor Mina. ,, Al mismo tiempo que el general Liñan marchaba para S. Gregorio re unió el traidor Mina las gavillas dispersas por el rumbo de Comanja y sierra de Guanajuato , compuestas de gentes del pais, con 12 ó 15 de los…</t>
  </si>
  <si>
    <t>Zavala, Juan Ramón de</t>
  </si>
  <si>
    <t>Juan Ramón de Zavala</t>
  </si>
  <si>
    <t>…; y serán preferidos en , iguales circunstancias los que posean la lengua vascongada. Los pretendientes que quieran hacer oposición di rigirán sus memoriales, francos de porte, á D. Juan Ramón de Zavala, como admi nistrador de dicha obra pía; y se proveerá para el 31 de Diciembre de este año. Se desea saber el paradero de Joscf Bruñe, artillero de brigada, quien en el año próximo pasado de 1817 desapareció en la bahía de Cádiz estando á bordo del ber gantín…</t>
  </si>
  <si>
    <t>Zayas, Fernando Joaquín Navarro Balboa</t>
  </si>
  <si>
    <t>Fernando Joaquín Navarro Balboa Zayas</t>
  </si>
  <si>
    <t>…la escribanía de Cámara del cargo de D. Pablo de Castilla;, se hallan pendientes au tos entre partes, de la una el señor fiscal por el dere.cKo.de la Real Hacienda,' y de la otra D. Fernando Joaquín Navarro Balboa Zayas, Doña Clara Navarro Balboa,1 D. Alfonso Mateos Fajardo, Doña Isabel An^ Alvarez y Montes, viuda que fue de D. Fernando Navarro Balboa, por sí y en nombre de su hijo menor D. Josef Trini4 dad Navarro Balboa y Doña María Ana Ducarne, viuda de D. Josef Navarro B…</t>
  </si>
  <si>
    <t>Zayas, Ramón de Orozco y</t>
  </si>
  <si>
    <t>Ramón de Orozco y Zayas</t>
  </si>
  <si>
    <t>…e la Vera,coronel de Ingenieros, que vive calle depreciados, riúm. gr, cuarto principal, ó dirigir el aviso i fa ciudad de Ubeda, en el reinq.de Jaén, al teniente coronel retirado D. Ramón de Orozco y Zayas. EN LA IMPRENTA REAL.</t>
  </si>
  <si>
    <t>Zayonzech</t>
  </si>
  <si>
    <t>…ntento, y todos los indicios y noticias adquiridas hasta el dia confirman esta sospecha. POLONIA. Varsovta 4 de Mayo. S. M. el Emperador de Rusia acaba de hacer Príncipe polaco al general Zayonzech, nuestro virey; El gran duque Constantino ha regresado ya aquí de las fronteras del rei no, adonde había ido á acompañar á S. M. el Emperador, y se cree que asis tirá al congreso de los Soberanos que debe celebrarse á fines de Agosto. DINAMARCA. Copenhague s&gt;…</t>
  </si>
  <si>
    <t>Zazo, Francisco</t>
  </si>
  <si>
    <t>Francisco Zazo</t>
  </si>
  <si>
    <t>…precedido sorteo por hallarse en igual censura con D. Vicente García Galah y D. V ictoriano Molina: á D. Antonio dél Olmo, maestro de la Real escue la del barrio de la Comadre : á D. Francisco Zazo, maestro de la Real escue la del barrio dél Humilladero, habiendo precedido sorteó por hallarse en igual «ensura con D. Nicolás Alonso. ‘ Pero conociendo la junta el mérito de los cinco maestros á quienes la ca sualidad de la suerte privó dél préiriio que tan…</t>
  </si>
  <si>
    <t>Zozalla, Josef Ramón</t>
  </si>
  <si>
    <t>Josef Ramón Zozalla</t>
  </si>
  <si>
    <t>…Josef Fuertes 10, D. Antonio Oramas 10, D. J osef Pacanis y Nicolau 10, D. Juan Tomas Zaldarriaga 10} D. Josef Ignacio Tsquiagav 2o , D. Rafael Minteguiaga 15, D. Ramón Go mia 10, D. Josef Ramón Zozalla 2, D-&gt; Jaime Mas 8, D. Martin de Irrgo•yen 8 , D.; Juan:.Gcrd.il.' d, D¿ tMiguel Antonio Oyarzabal 6 , D. Joaquín/ Emazabei 4, D. Antonio Delgado 4 , D. Vicente.Sarria 4, D. Marcial Bei*7 mudez 4, D. Joaquín Reina y Capetilío 8, D. Francisco Espar 6, D. Fran…</t>
  </si>
  <si>
    <t>Zua, Carlos</t>
  </si>
  <si>
    <t>Carlos Zua</t>
  </si>
  <si>
    <t>…rbide, D. Félix Ii*iarte y D. Cesáreo Sanz López. En la clase de sintaxis se adjudico el primer premio á D Eugenio Subi za; y el segundo áD. Antonio Iribertegui, siendo meritorios D. Carlos Zua^ ti, D. Benito Ojer y D. Domingo Ramírez. En la clase superior de latinidad obtuvo el premio primero D. Justo Pe rez; y el segundo D. Fermín Lasa, siendo meritorios D. Domingo Muguerza, D. Josef Id ion da, D. Francisco Goñi, D. Xavier Sanz López y Don Benito…</t>
  </si>
  <si>
    <t>Zúñiga, Diego Ortiz de</t>
  </si>
  <si>
    <t>Diego Ortiz de Zúñiga</t>
  </si>
  <si>
    <t>…latino y el retrato de Quintíliano. Véndese en la librería de Ranz, calle de la Cruz, á 22 rs. cada tomo en rústica. Anales eclesiásticos y seculares de la ciudad de Sevilla, por D. Diego Ortiz de Zúñiga, ilustrados por D. Antonio Espinosa: cinco tomos en 4.0 Se hallará en el al macén de la imprenta Real á 90 rs. en papel. . .................. En la imprenta sita en la calle de la Greda se vende papel pautado por mayor al equitativo precio de 48 rs. resma, no…</t>
  </si>
  <si>
    <t>Zuñiga, Dionisio Josef de</t>
  </si>
  <si>
    <t>Dionisio Josef de Zuñiga</t>
  </si>
  <si>
    <t>…sobre su presentación al Real indulto sin insistir en condición alguna, les ha concedido aquel en nombre del Rey nuestro Señor; dando las gracias al benemérito cura de Tenango Br. D. Dionisio Josef de Zuñiga y aF teniente coronel D. Nicolás Gutiérrez por este servicio hecho en bien de la humanidad, del Real servicio y de la pacificación de estos reinos, y tam bién á los indultados por los mismos motivos. INDULTO DE LAS GAVILLAS DEL CANTON DE SOLTEROS, EN EL DISTR…</t>
  </si>
  <si>
    <t>Zurarriain-, Josefa de</t>
  </si>
  <si>
    <t>Josefa de Zurarriain-</t>
  </si>
  <si>
    <t>…eriores jun tas se indican sus nombres y apellidos , que son: O. Josef Muñoz de Pando D Fe lipe Carrasqueño, D. Josef de Torres, D. Severino Salazar, Doña María Josefa de Cuellar, Doña Josefa de Zurarriain-, D. Esteban Beuif, D. Cayetano Franques, Don Pascual Gisbert, D. Andrés de Ay ala &gt; las memorias de Várgas , D. Félix de Rívas, y representante del Excmo. Sr. duque de Medinaceli; previniéndoles que de no acu dir les parará el perjuicio que haya lugar. Quien…</t>
  </si>
  <si>
    <t>Zurita, Gerónimo de</t>
  </si>
  <si>
    <t>Gerónimo de Zurita</t>
  </si>
  <si>
    <t>…n de las escampas que se hallan de venta en la calcografía de la ¡m- f. 'atedio pliego de marca 'mayó*. = Cuaderno 6 0 D. Alonso Tos tado, Luis Vives, D. Diego Hurtado de Mendoza, D. Gerónimo de Zurita, Don</t>
  </si>
  <si>
    <t>Fuentes oficiales y criterio de elaboración · 1818</t>
  </si>
  <si>
    <t>159 archivos · 1316 páginas · enlaces al facsímil oficial</t>
  </si>
  <si>
    <t>Archivo</t>
  </si>
  <si>
    <t>Páginas PDF</t>
  </si>
  <si>
    <t>Registros del índice</t>
  </si>
  <si>
    <t>Facsímil completo</t>
  </si>
  <si>
    <t>GMD-1818-1.pdf</t>
  </si>
  <si>
    <t>GMD-1818-2.pdf</t>
  </si>
  <si>
    <t>GMD-1818-3.pdf</t>
  </si>
  <si>
    <t>GMD-1818-4.pdf</t>
  </si>
  <si>
    <t>GMD-1818-5.pdf</t>
  </si>
  <si>
    <t>GMD-1818-6.pdf</t>
  </si>
  <si>
    <t>GMD-1818-7.pdf</t>
  </si>
  <si>
    <t>GMD-1818-8.pdf</t>
  </si>
  <si>
    <t>GMD-1818-9.pdf</t>
  </si>
  <si>
    <t>GMD-1818-10.pdf</t>
  </si>
  <si>
    <t>GMD-1818-11.pdf</t>
  </si>
  <si>
    <t>GMD-1818-12.pdf</t>
  </si>
  <si>
    <t>GMD-1818-13.pdf</t>
  </si>
  <si>
    <t>GMD-1818-14.pdf</t>
  </si>
  <si>
    <t>GMD-1818-15.pdf</t>
  </si>
  <si>
    <t>GMD-1818-16.pdf</t>
  </si>
  <si>
    <t>GMD-1818-17.pdf</t>
  </si>
  <si>
    <t>GMD-1818-18.pdf</t>
  </si>
  <si>
    <t>GMD-1818-19.pdf</t>
  </si>
  <si>
    <t>GMD-1818-20.pdf</t>
  </si>
  <si>
    <t>GMD-1818-21.pdf</t>
  </si>
  <si>
    <t>GMD-1818-22.pdf</t>
  </si>
  <si>
    <t>GMD-1818-23.pdf</t>
  </si>
  <si>
    <t>GMD-1818-24.pdf</t>
  </si>
  <si>
    <t>GMD-1818-25.pdf</t>
  </si>
  <si>
    <t>GMD-1818-26.pdf</t>
  </si>
  <si>
    <t>GMD-1818-27.pdf</t>
  </si>
  <si>
    <t>GMD-1818-28.pdf</t>
  </si>
  <si>
    <t>GMD-1818-29.pdf</t>
  </si>
  <si>
    <t>GMD-1818-30.pdf</t>
  </si>
  <si>
    <t>GMD-1818-31.pdf</t>
  </si>
  <si>
    <t>GMD-1818-32.pdf</t>
  </si>
  <si>
    <t>GMD-1818-33.pdf</t>
  </si>
  <si>
    <t>GMD-1818-34.pdf</t>
  </si>
  <si>
    <t>GMD-1818-35.pdf</t>
  </si>
  <si>
    <t>GMD-1818-36.pdf</t>
  </si>
  <si>
    <t>GMD-1818-37.pdf</t>
  </si>
  <si>
    <t>GMD-1818-38.pdf</t>
  </si>
  <si>
    <t>GMD-1818-39.pdf</t>
  </si>
  <si>
    <t>GMD-1818-40.pdf</t>
  </si>
  <si>
    <t>GMD-1818-41.pdf</t>
  </si>
  <si>
    <t>GMD-1818-42.pdf</t>
  </si>
  <si>
    <t>GMD-1818-43.pdf</t>
  </si>
  <si>
    <t>GMD-1818-44.pdf</t>
  </si>
  <si>
    <t>GMD-1818-45.pdf</t>
  </si>
  <si>
    <t>GMD-1818-46.pdf</t>
  </si>
  <si>
    <t>GMD-1818-47.pdf</t>
  </si>
  <si>
    <t>GMD-1818-48.pdf</t>
  </si>
  <si>
    <t>GMD-1818-49.pdf</t>
  </si>
  <si>
    <t>GMD-1818-50.pdf</t>
  </si>
  <si>
    <t>GMD-1818-51.pdf</t>
  </si>
  <si>
    <t>GMD-1818-52.pdf</t>
  </si>
  <si>
    <t>GMD-1818-53.pdf</t>
  </si>
  <si>
    <t>GMD-1818-54.pdf</t>
  </si>
  <si>
    <t>GMD-1818-55.pdf</t>
  </si>
  <si>
    <t>GMD-1818-56.pdf</t>
  </si>
  <si>
    <t>GMD-1818-57.pdf</t>
  </si>
  <si>
    <t>GMD-1818-58.pdf</t>
  </si>
  <si>
    <t>GMD-1818-59.pdf</t>
  </si>
  <si>
    <t>GMD-1818-60.pdf</t>
  </si>
  <si>
    <t>GMD-1818-61.pdf</t>
  </si>
  <si>
    <t>GMD-1818-62.pdf</t>
  </si>
  <si>
    <t>GMD-1818-63.pdf</t>
  </si>
  <si>
    <t>GMD-1818-64.pdf</t>
  </si>
  <si>
    <t>GMD-1818-65.pdf</t>
  </si>
  <si>
    <t>GMD-1818-66.pdf</t>
  </si>
  <si>
    <t>GMD-1818-67.pdf</t>
  </si>
  <si>
    <t>GMD-1818-68.pdf</t>
  </si>
  <si>
    <t>GMD-1818-69.pdf</t>
  </si>
  <si>
    <t>GMD-1818-70.pdf</t>
  </si>
  <si>
    <t>GMD-1818-71.pdf</t>
  </si>
  <si>
    <t>GMD-1818-72.pdf</t>
  </si>
  <si>
    <t>GMD-1818-73.pdf</t>
  </si>
  <si>
    <t>GMD-1818-74.pdf</t>
  </si>
  <si>
    <t>GMD-1818-75.pdf</t>
  </si>
  <si>
    <t>GMD-1818-76.pdf</t>
  </si>
  <si>
    <t>GMD-1818-77.pdf</t>
  </si>
  <si>
    <t>GMD-1818-78.pdf</t>
  </si>
  <si>
    <t>GMD-1818-79.pdf</t>
  </si>
  <si>
    <t>GMD-1818-80.pdf</t>
  </si>
  <si>
    <t>GMD-1818-81.pdf</t>
  </si>
  <si>
    <t>GMD-1818-82.pdf</t>
  </si>
  <si>
    <t>GMD-1818-83.pdf</t>
  </si>
  <si>
    <t>GMD-1818-84.pdf</t>
  </si>
  <si>
    <t>GMD-1818-85.pdf</t>
  </si>
  <si>
    <t>GMD-1818-86.pdf</t>
  </si>
  <si>
    <t>GMD-1818-87.pdf</t>
  </si>
  <si>
    <t>GMD-1818-88.pdf</t>
  </si>
  <si>
    <t>GMD-1818-89.pdf</t>
  </si>
  <si>
    <t>GMD-1818-90.pdf</t>
  </si>
  <si>
    <t>GMD-1818-91.pdf</t>
  </si>
  <si>
    <t>GMD-1818-92.pdf</t>
  </si>
  <si>
    <t>GMD-1818-93.pdf</t>
  </si>
  <si>
    <t>GMD-1818-94.pdf</t>
  </si>
  <si>
    <t>GMD-1818-95.pdf</t>
  </si>
  <si>
    <t>GMD-1818-96.pdf</t>
  </si>
  <si>
    <t>GMD-1818-97.pdf</t>
  </si>
  <si>
    <t>GMD-1818-98.pdf</t>
  </si>
  <si>
    <t>GMD-1818-99.pdf</t>
  </si>
  <si>
    <t>GMD-1818-100.pdf</t>
  </si>
  <si>
    <t>GMD-1818-101.pdf</t>
  </si>
  <si>
    <t>GMD-1818-102.pdf</t>
  </si>
  <si>
    <t>GMD-1818-103.pdf</t>
  </si>
  <si>
    <t>GMD-1818-104.pdf</t>
  </si>
  <si>
    <t>GMD-1818-105.pdf</t>
  </si>
  <si>
    <t>GMD-1818-106.pdf</t>
  </si>
  <si>
    <t>GMD-1818-107.pdf</t>
  </si>
  <si>
    <t>GMD-1818-108.pdf</t>
  </si>
  <si>
    <t>GMD-1818-109.pdf</t>
  </si>
  <si>
    <t>GMD-1818-110.pdf</t>
  </si>
  <si>
    <t>GMD-1818-111.pdf</t>
  </si>
  <si>
    <t>GMD-1818-112.pdf</t>
  </si>
  <si>
    <t>GMD-1818-113.pdf</t>
  </si>
  <si>
    <t>GMD-1818-114.pdf</t>
  </si>
  <si>
    <t>GMD-1818-115.pdf</t>
  </si>
  <si>
    <t>GMD-1818-116.pdf</t>
  </si>
  <si>
    <t>GMD-1818-117.pdf</t>
  </si>
  <si>
    <t>GMD-1818-118.pdf</t>
  </si>
  <si>
    <t>GMD-1818-119.pdf</t>
  </si>
  <si>
    <t>GMD-1818-120.pdf</t>
  </si>
  <si>
    <t>GMD-1818-121.pdf</t>
  </si>
  <si>
    <t>GMD-1818-122.pdf</t>
  </si>
  <si>
    <t>GMD-1818-123.pdf</t>
  </si>
  <si>
    <t>GMD-1818-124.pdf</t>
  </si>
  <si>
    <t>GMD-1818-125E.pdf</t>
  </si>
  <si>
    <t>GMD-1818-126.pdf</t>
  </si>
  <si>
    <t>GMD-1818-127.pdf</t>
  </si>
  <si>
    <t>GMD-1818-128.pdf</t>
  </si>
  <si>
    <t>GMD-1818-129.pdf</t>
  </si>
  <si>
    <t>GMD-1818-130.pdf</t>
  </si>
  <si>
    <t>GMD-1818-131.pdf</t>
  </si>
  <si>
    <t>GMD-1818-132.pdf</t>
  </si>
  <si>
    <t>GMD-1818-133.pdf</t>
  </si>
  <si>
    <t>GMD-1818-134.pdf</t>
  </si>
  <si>
    <t>GMD-1818-135.pdf</t>
  </si>
  <si>
    <t>GMD-1818-136.pdf</t>
  </si>
  <si>
    <t>GMD-1818-137.pdf</t>
  </si>
  <si>
    <t>GMD-1818-138.pdf</t>
  </si>
  <si>
    <t>GMD-1818-139.pdf</t>
  </si>
  <si>
    <t>GMD-1818-140.pdf</t>
  </si>
  <si>
    <t>GMD-1818-141.pdf</t>
  </si>
  <si>
    <t>GMD-1818-142.pdf</t>
  </si>
  <si>
    <t>GMD-1818-143.pdf</t>
  </si>
  <si>
    <t>GMD-1818-144.pdf</t>
  </si>
  <si>
    <t>GMD-1818-145.pdf</t>
  </si>
  <si>
    <t>GMD-1818-146.pdf</t>
  </si>
  <si>
    <t>GMD-1818-147.pdf</t>
  </si>
  <si>
    <t>GMD-1818-148.pdf</t>
  </si>
  <si>
    <t>GMD-1818-149.pdf</t>
  </si>
  <si>
    <t>GMD-1818-150.pdf</t>
  </si>
  <si>
    <t>GMD-1818-151.pdf</t>
  </si>
  <si>
    <t>GMD-1818-152.pdf</t>
  </si>
  <si>
    <t>GMD-1818-153.pdf</t>
  </si>
  <si>
    <t>GMD-1818-154.pdf</t>
  </si>
  <si>
    <t>GMD-1818-155.pdf</t>
  </si>
  <si>
    <t>GMD-1818-156.pdf</t>
  </si>
  <si>
    <t>GMD-1818-157E.pdf</t>
  </si>
  <si>
    <t>GMD-1818-158.pdf</t>
  </si>
  <si>
    <t>GMD-1818-159.pdf</t>
  </si>
  <si>
    <t>Criterios, alcance y limitaciones</t>
  </si>
  <si>
    <t>Cobertura</t>
  </si>
  <si>
    <t>Se incluyen los 159 archivos localizados en la hemeroteca oficial entre el 1 de enero y el 31 de diciembre de 1818, incluidas las ediciones extraordinarias.</t>
  </si>
  <si>
    <t>Cabeceras</t>
  </si>
  <si>
    <t>Gaceta de Madrid (159 archivos).</t>
  </si>
  <si>
    <t>Numeración</t>
  </si>
  <si>
    <t>La numeración y las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</si>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</sst>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amily val="2"/>
    </font>
    <font>
      <sz val="11"/>
      <color rgb="FF1F1F1F"/>
      <name val="Calibri"/>
      <family val="2"/>
    </font>
    <font>
      <b/>
      <sz val="10"/>
      <color rgb="FF7F6000"/>
      <name val="Calibri"/>
      <family val="2"/>
    </font>
    <font>
      <b/>
      <sz val="10"/>
      <color rgb="FF375623"/>
      <name val="Calibri"/>
      <family val="2"/>
    </font>
    <font>
      <b/>
      <sz val="10"/>
      <color rgb="FFFFFFFF"/>
      <name val="Calibri"/>
      <family val="2"/>
    </font>
    <font>
      <sz val="9"/>
      <name val="Calibri"/>
      <family val="2"/>
    </font>
    <font>
      <sz val="11"/>
      <name val="Calibri"/>
      <family val="2"/>
    </font>
    <font>
      <b/>
      <sz val="11"/>
      <color rgb="FFFFFFFF"/>
      <name val="Arial"/>
      <family val="2"/>
    </font>
    <font>
      <b/>
      <sz val="10"/>
      <color rgb="FF1F4E78"/>
      <name val="Arial"/>
      <family val="2"/>
    </font>
    <font>
      <sz val="10"/>
      <color rgb="FF000000"/>
      <name val="Arial"/>
      <family val="2"/>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8" displayName="IndiceOnomasticoAnual1818" ref="A6:K4465" totalsRowShown="0">
  <autoFilter ref="A6:K4465"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8" displayName="FuentesGacetaAnual1818" ref="A4:F163" totalsRowShown="0">
  <autoFilter ref="A4:F163"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-29841</v>
      </c>
      <c r="F7" s="3" t="s">
        <v>19</v>
      </c>
      <c r="G7" s="3" t="s">
        <v>20</v>
      </c>
      <c r="H7" s="2" t="s">
        <v>21</v>
      </c>
      <c r="I7" s="2" t="s">
        <v>22</v>
      </c>
      <c r="J7" s="3" t="str">
        <f>HYPERLINK("https://www.boe.es/gazeta/dias/1818/04/18/pdfs/GMD-1818-47.pdf#page=7","Abrir facsímil")</f>
        <v>Abrir facsímil</v>
      </c>
      <c r="K7" s="3" t="s">
        <v>23</v>
      </c>
    </row>
    <row r="8" spans="1:11" ht="42" customHeight="1">
      <c r="A8" s="2" t="s">
        <v>24</v>
      </c>
      <c r="B8" s="2" t="s">
        <v>25</v>
      </c>
      <c r="C8" s="2" t="s">
        <v>26</v>
      </c>
      <c r="D8" s="2" t="s">
        <v>27</v>
      </c>
      <c r="E8" s="5">
        <v>-29906</v>
      </c>
      <c r="F8" s="3" t="s">
        <v>28</v>
      </c>
      <c r="G8" s="3" t="s">
        <v>29</v>
      </c>
      <c r="H8" s="2" t="s">
        <v>21</v>
      </c>
      <c r="I8" s="2" t="s">
        <v>30</v>
      </c>
      <c r="J8" s="3" t="str">
        <f>HYPERLINK("https://www.boe.es/gazeta/dias/1818/02/12/pdfs/GMD-1818-19.pdf#page=4","Abrir facsímil")</f>
        <v>Abrir facsímil</v>
      </c>
      <c r="K8" s="3" t="s">
        <v>23</v>
      </c>
    </row>
    <row r="9" spans="1:11" ht="42" customHeight="1">
      <c r="A9" s="2" t="s">
        <v>31</v>
      </c>
      <c r="B9" s="2" t="s">
        <v>32</v>
      </c>
      <c r="C9" s="2" t="s">
        <v>33</v>
      </c>
      <c r="D9" s="2" t="s">
        <v>18</v>
      </c>
      <c r="E9" s="5">
        <v>-29932</v>
      </c>
      <c r="F9" s="3" t="s">
        <v>34</v>
      </c>
      <c r="G9" s="3" t="s">
        <v>35</v>
      </c>
      <c r="H9" s="2" t="s">
        <v>36</v>
      </c>
      <c r="I9" s="2" t="s">
        <v>37</v>
      </c>
      <c r="J9" s="3" t="str">
        <f>HYPERLINK("https://www.boe.es/gazeta/dias/1818/01/17/pdfs/GMD-1818-8.pdf#page=8","Abrir facsímil")</f>
        <v>Abrir facsímil</v>
      </c>
      <c r="K9" s="3" t="s">
        <v>38</v>
      </c>
    </row>
    <row r="10" spans="1:11" ht="42" customHeight="1">
      <c r="A10" s="2" t="s">
        <v>31</v>
      </c>
      <c r="B10" s="2" t="s">
        <v>32</v>
      </c>
      <c r="C10" s="2" t="s">
        <v>33</v>
      </c>
      <c r="D10" s="2" t="s">
        <v>18</v>
      </c>
      <c r="E10" s="5">
        <v>-29892</v>
      </c>
      <c r="F10" s="3" t="s">
        <v>39</v>
      </c>
      <c r="G10" s="3" t="s">
        <v>40</v>
      </c>
      <c r="H10" s="2" t="s">
        <v>36</v>
      </c>
      <c r="I10" s="2" t="s">
        <v>41</v>
      </c>
      <c r="J10" s="3" t="str">
        <f>HYPERLINK("https://www.boe.es/gazeta/dias/1818/02/26/pdfs/GMD-1818-25.pdf#page=8","Abrir facsímil")</f>
        <v>Abrir facsímil</v>
      </c>
      <c r="K10" s="3" t="s">
        <v>38</v>
      </c>
    </row>
    <row r="11" spans="1:11" ht="42" customHeight="1">
      <c r="A11" s="2" t="s">
        <v>42</v>
      </c>
      <c r="B11" s="2" t="s">
        <v>43</v>
      </c>
      <c r="C11" s="2" t="s">
        <v>17</v>
      </c>
      <c r="D11" s="2" t="s">
        <v>18</v>
      </c>
      <c r="E11" s="5">
        <v>-29829</v>
      </c>
      <c r="F11" s="3" t="s">
        <v>44</v>
      </c>
      <c r="G11" s="3" t="s">
        <v>45</v>
      </c>
      <c r="H11" s="2" t="s">
        <v>36</v>
      </c>
      <c r="I11" s="2" t="s">
        <v>46</v>
      </c>
      <c r="J11" s="3" t="str">
        <f>HYPERLINK("https://www.boe.es/gazeta/dias/1818/04/30/pdfs/GMD-1818-52.pdf#page=8","Abrir facsímil")</f>
        <v>Abrir facsímil</v>
      </c>
      <c r="K11" s="3" t="s">
        <v>38</v>
      </c>
    </row>
    <row r="12" spans="1:11" ht="42" customHeight="1">
      <c r="A12" s="2" t="s">
        <v>47</v>
      </c>
      <c r="B12" s="2" t="s">
        <v>47</v>
      </c>
      <c r="C12" s="2" t="s">
        <v>26</v>
      </c>
      <c r="D12" s="2" t="s">
        <v>27</v>
      </c>
      <c r="E12" s="5">
        <v>-29670</v>
      </c>
      <c r="F12" s="3" t="s">
        <v>48</v>
      </c>
      <c r="G12" s="3" t="s">
        <v>49</v>
      </c>
      <c r="H12" s="2" t="s">
        <v>36</v>
      </c>
      <c r="I12" s="2" t="s">
        <v>50</v>
      </c>
      <c r="J12" s="3" t="str">
        <f>HYPERLINK("https://www.boe.es/gazeta/dias/1818/10/06/pdfs/GMD-1818-120.pdf#page=1","Abrir facsímil")</f>
        <v>Abrir facsímil</v>
      </c>
      <c r="K12" s="3" t="s">
        <v>38</v>
      </c>
    </row>
    <row r="13" spans="1:11" ht="42" customHeight="1">
      <c r="A13" s="2" t="s">
        <v>51</v>
      </c>
      <c r="B13" s="2" t="s">
        <v>52</v>
      </c>
      <c r="C13" s="2" t="s">
        <v>17</v>
      </c>
      <c r="D13" s="2" t="s">
        <v>18</v>
      </c>
      <c r="E13" s="5">
        <v>-29934</v>
      </c>
      <c r="F13" s="3" t="s">
        <v>53</v>
      </c>
      <c r="G13" s="3" t="s">
        <v>20</v>
      </c>
      <c r="H13" s="2" t="s">
        <v>21</v>
      </c>
      <c r="I13" s="2" t="s">
        <v>54</v>
      </c>
      <c r="J13" s="3" t="str">
        <f>HYPERLINK("https://www.boe.es/gazeta/dias/1818/01/15/pdfs/GMD-1818-7.pdf#page=7","Abrir facsímil")</f>
        <v>Abrir facsímil</v>
      </c>
      <c r="K13" s="3" t="s">
        <v>23</v>
      </c>
    </row>
    <row r="14" spans="1:11" ht="42" customHeight="1">
      <c r="A14" s="2" t="s">
        <v>55</v>
      </c>
      <c r="B14" s="2" t="s">
        <v>56</v>
      </c>
      <c r="C14" s="2" t="s">
        <v>57</v>
      </c>
      <c r="D14" s="2" t="s">
        <v>18</v>
      </c>
      <c r="E14" s="5">
        <v>-29628</v>
      </c>
      <c r="F14" s="3" t="s">
        <v>58</v>
      </c>
      <c r="G14" s="3" t="s">
        <v>59</v>
      </c>
      <c r="H14" s="2" t="s">
        <v>36</v>
      </c>
      <c r="I14" s="2" t="s">
        <v>60</v>
      </c>
      <c r="J14" s="3" t="str">
        <f>HYPERLINK("https://www.boe.es/gazeta/dias/1818/11/17/pdfs/GMD-1818-139.pdf#page=6","Abrir facsímil")</f>
        <v>Abrir facsímil</v>
      </c>
      <c r="K14" s="3" t="s">
        <v>38</v>
      </c>
    </row>
    <row r="15" spans="1:11" ht="42" customHeight="1">
      <c r="A15" s="2" t="s">
        <v>61</v>
      </c>
      <c r="B15" s="2" t="s">
        <v>62</v>
      </c>
      <c r="C15" s="2" t="s">
        <v>63</v>
      </c>
      <c r="D15" s="2" t="s">
        <v>18</v>
      </c>
      <c r="E15" s="5">
        <v>-29619</v>
      </c>
      <c r="F15" s="3" t="s">
        <v>64</v>
      </c>
      <c r="G15" s="3" t="s">
        <v>20</v>
      </c>
      <c r="H15" s="2" t="s">
        <v>21</v>
      </c>
      <c r="I15" s="2" t="s">
        <v>65</v>
      </c>
      <c r="J15" s="3" t="str">
        <f>HYPERLINK("https://www.boe.es/gazeta/dias/1818/11/26/pdfs/GMD-1818-143.pdf#page=7","Abrir facsímil")</f>
        <v>Abrir facsímil</v>
      </c>
      <c r="K15" s="3" t="s">
        <v>23</v>
      </c>
    </row>
    <row r="16" spans="1:11" ht="42" customHeight="1">
      <c r="A16" s="2" t="s">
        <v>66</v>
      </c>
      <c r="B16" s="2" t="s">
        <v>67</v>
      </c>
      <c r="C16" s="2" t="s">
        <v>68</v>
      </c>
      <c r="D16" s="2" t="s">
        <v>69</v>
      </c>
      <c r="E16" s="5">
        <v>-29726</v>
      </c>
      <c r="F16" s="3" t="s">
        <v>70</v>
      </c>
      <c r="G16" s="3" t="s">
        <v>71</v>
      </c>
      <c r="H16" s="2" t="s">
        <v>36</v>
      </c>
      <c r="I16" s="2" t="s">
        <v>72</v>
      </c>
      <c r="J16" s="3" t="str">
        <f>HYPERLINK("https://www.boe.es/gazeta/dias/1818/08/11/pdfs/GMD-1818-96.pdf#page=16","Abrir facsímil")</f>
        <v>Abrir facsímil</v>
      </c>
      <c r="K16" s="3" t="s">
        <v>38</v>
      </c>
    </row>
    <row r="17" spans="1:11" ht="42" customHeight="1">
      <c r="A17" s="2" t="s">
        <v>73</v>
      </c>
      <c r="B17" s="2" t="s">
        <v>74</v>
      </c>
      <c r="C17" s="2" t="s">
        <v>26</v>
      </c>
      <c r="D17" s="2" t="s">
        <v>27</v>
      </c>
      <c r="E17" s="5">
        <v>-29640</v>
      </c>
      <c r="F17" s="3" t="s">
        <v>75</v>
      </c>
      <c r="G17" s="3" t="s">
        <v>76</v>
      </c>
      <c r="H17" s="2" t="s">
        <v>36</v>
      </c>
      <c r="I17" s="2" t="s">
        <v>77</v>
      </c>
      <c r="J17" s="3" t="str">
        <f>HYPERLINK("https://www.boe.es/gazeta/dias/1818/11/05/pdfs/GMD-1818-134.pdf#page=5","Abrir facsímil")</f>
        <v>Abrir facsímil</v>
      </c>
      <c r="K17" s="3" t="s">
        <v>38</v>
      </c>
    </row>
    <row r="18" spans="1:11" ht="42" customHeight="1">
      <c r="A18" s="2" t="s">
        <v>78</v>
      </c>
      <c r="B18" s="2" t="s">
        <v>79</v>
      </c>
      <c r="C18" s="2" t="s">
        <v>17</v>
      </c>
      <c r="D18" s="2" t="s">
        <v>18</v>
      </c>
      <c r="E18" s="5">
        <v>-29808</v>
      </c>
      <c r="F18" s="3" t="s">
        <v>80</v>
      </c>
      <c r="G18" s="3" t="s">
        <v>29</v>
      </c>
      <c r="H18" s="2" t="s">
        <v>36</v>
      </c>
      <c r="I18" s="2" t="s">
        <v>81</v>
      </c>
      <c r="J18" s="3" t="str">
        <f>HYPERLINK("https://www.boe.es/gazeta/dias/1818/05/21/pdfs/GMD-1818-61.pdf#page=4","Abrir facsímil")</f>
        <v>Abrir facsímil</v>
      </c>
      <c r="K18" s="3" t="s">
        <v>38</v>
      </c>
    </row>
    <row r="19" spans="1:11" ht="42" customHeight="1">
      <c r="A19" s="2" t="s">
        <v>82</v>
      </c>
      <c r="B19" s="2" t="s">
        <v>83</v>
      </c>
      <c r="C19" s="2" t="s">
        <v>26</v>
      </c>
      <c r="D19" s="2" t="s">
        <v>27</v>
      </c>
      <c r="E19" s="5">
        <v>-29806</v>
      </c>
      <c r="F19" s="3" t="s">
        <v>84</v>
      </c>
      <c r="G19" s="3" t="s">
        <v>85</v>
      </c>
      <c r="H19" s="2" t="s">
        <v>36</v>
      </c>
      <c r="I19" s="2" t="s">
        <v>86</v>
      </c>
      <c r="J19" s="3" t="str">
        <f>HYPERLINK("https://www.boe.es/gazeta/dias/1818/05/23/pdfs/GMD-1818-62.pdf#page=3","Abrir facsímil")</f>
        <v>Abrir facsímil</v>
      </c>
      <c r="K19" s="3" t="s">
        <v>38</v>
      </c>
    </row>
    <row r="20" spans="1:11" ht="42" customHeight="1">
      <c r="A20" s="2" t="s">
        <v>87</v>
      </c>
      <c r="B20" s="2" t="s">
        <v>88</v>
      </c>
      <c r="C20" s="2" t="s">
        <v>26</v>
      </c>
      <c r="D20" s="2" t="s">
        <v>27</v>
      </c>
      <c r="E20" s="5">
        <v>-29918</v>
      </c>
      <c r="F20" s="3" t="s">
        <v>89</v>
      </c>
      <c r="G20" s="3" t="s">
        <v>90</v>
      </c>
      <c r="H20" s="2" t="s">
        <v>36</v>
      </c>
      <c r="I20" s="2" t="s">
        <v>91</v>
      </c>
      <c r="J20" s="3" t="str">
        <f>HYPERLINK("https://www.boe.es/gazeta/dias/1818/01/31/pdfs/GMD-1818-14.pdf#page=10","Abrir facsímil")</f>
        <v>Abrir facsímil</v>
      </c>
      <c r="K20" s="3" t="s">
        <v>38</v>
      </c>
    </row>
    <row r="21" spans="1:11" ht="42" customHeight="1">
      <c r="A21" s="2" t="s">
        <v>92</v>
      </c>
      <c r="B21" s="2" t="s">
        <v>93</v>
      </c>
      <c r="C21" s="2" t="s">
        <v>26</v>
      </c>
      <c r="D21" s="2" t="s">
        <v>27</v>
      </c>
      <c r="E21" s="5">
        <v>-29934</v>
      </c>
      <c r="F21" s="3" t="s">
        <v>53</v>
      </c>
      <c r="G21" s="3" t="s">
        <v>59</v>
      </c>
      <c r="H21" s="2" t="s">
        <v>36</v>
      </c>
      <c r="I21" s="2" t="s">
        <v>94</v>
      </c>
      <c r="J21" s="3" t="str">
        <f>HYPERLINK("https://www.boe.es/gazeta/dias/1818/01/15/pdfs/GMD-1818-7.pdf#page=6","Abrir facsímil")</f>
        <v>Abrir facsímil</v>
      </c>
      <c r="K21" s="3" t="s">
        <v>38</v>
      </c>
    </row>
    <row r="22" spans="1:11" ht="42" customHeight="1">
      <c r="A22" s="2" t="s">
        <v>95</v>
      </c>
      <c r="B22" s="2" t="s">
        <v>96</v>
      </c>
      <c r="C22" s="2" t="s">
        <v>97</v>
      </c>
      <c r="D22" s="2" t="s">
        <v>18</v>
      </c>
      <c r="E22" s="5">
        <v>-29598</v>
      </c>
      <c r="F22" s="3" t="s">
        <v>98</v>
      </c>
      <c r="G22" s="3" t="s">
        <v>45</v>
      </c>
      <c r="H22" s="2" t="s">
        <v>36</v>
      </c>
      <c r="I22" s="2" t="s">
        <v>99</v>
      </c>
      <c r="J22" s="3" t="str">
        <f>HYPERLINK("https://www.boe.es/gazeta/dias/1818/12/17/pdfs/GMD-1818-152.pdf#page=8","Abrir facsímil")</f>
        <v>Abrir facsímil</v>
      </c>
      <c r="K22" s="3" t="s">
        <v>38</v>
      </c>
    </row>
    <row r="23" spans="1:11" ht="42" customHeight="1">
      <c r="A23" s="2" t="s">
        <v>100</v>
      </c>
      <c r="B23" s="2" t="s">
        <v>100</v>
      </c>
      <c r="C23" s="2" t="s">
        <v>26</v>
      </c>
      <c r="D23" s="2" t="s">
        <v>27</v>
      </c>
      <c r="E23" s="5">
        <v>-29824</v>
      </c>
      <c r="F23" s="3" t="s">
        <v>101</v>
      </c>
      <c r="G23" s="3" t="s">
        <v>49</v>
      </c>
      <c r="H23" s="2" t="s">
        <v>36</v>
      </c>
      <c r="I23" s="2" t="s">
        <v>102</v>
      </c>
      <c r="J23" s="3" t="str">
        <f>HYPERLINK("https://www.boe.es/gazeta/dias/1818/05/05/pdfs/GMD-1818-54.pdf#page=1","Abrir facsímil")</f>
        <v>Abrir facsímil</v>
      </c>
      <c r="K23" s="3" t="s">
        <v>38</v>
      </c>
    </row>
    <row r="24" spans="1:11" ht="42" customHeight="1">
      <c r="A24" s="2" t="s">
        <v>103</v>
      </c>
      <c r="B24" s="2" t="s">
        <v>104</v>
      </c>
      <c r="C24" s="2" t="s">
        <v>26</v>
      </c>
      <c r="D24" s="2" t="s">
        <v>27</v>
      </c>
      <c r="E24" s="5">
        <v>-29845</v>
      </c>
      <c r="F24" s="3" t="s">
        <v>105</v>
      </c>
      <c r="G24" s="3" t="s">
        <v>106</v>
      </c>
      <c r="H24" s="2" t="s">
        <v>36</v>
      </c>
      <c r="I24" s="2" t="s">
        <v>107</v>
      </c>
      <c r="J24" s="3" t="str">
        <f>HYPERLINK("https://www.boe.es/gazeta/dias/1818/04/14/pdfs/GMD-1818-45.pdf#page=5","Abrir facsímil")</f>
        <v>Abrir facsímil</v>
      </c>
      <c r="K24" s="3" t="s">
        <v>38</v>
      </c>
    </row>
    <row r="25" spans="1:11" ht="42" customHeight="1">
      <c r="A25" s="2" t="s">
        <v>108</v>
      </c>
      <c r="B25" s="2" t="s">
        <v>109</v>
      </c>
      <c r="C25" s="2" t="s">
        <v>68</v>
      </c>
      <c r="D25" s="2" t="s">
        <v>69</v>
      </c>
      <c r="E25" s="5">
        <v>-29939</v>
      </c>
      <c r="F25" s="3" t="s">
        <v>110</v>
      </c>
      <c r="G25" s="3" t="s">
        <v>111</v>
      </c>
      <c r="H25" s="2" t="s">
        <v>36</v>
      </c>
      <c r="I25" s="2" t="s">
        <v>112</v>
      </c>
      <c r="J25" s="3" t="str">
        <f>HYPERLINK("https://www.boe.es/gazeta/dias/1818/01/10/pdfs/GMD-1818-5.pdf#page=11","Abrir facsímil")</f>
        <v>Abrir facsímil</v>
      </c>
      <c r="K25" s="3" t="s">
        <v>38</v>
      </c>
    </row>
    <row r="26" spans="1:11" ht="42" customHeight="1">
      <c r="A26" s="2" t="s">
        <v>113</v>
      </c>
      <c r="B26" s="2" t="s">
        <v>114</v>
      </c>
      <c r="C26" s="2" t="s">
        <v>68</v>
      </c>
      <c r="D26" s="2" t="s">
        <v>69</v>
      </c>
      <c r="E26" s="5">
        <v>-29757</v>
      </c>
      <c r="F26" s="3" t="s">
        <v>115</v>
      </c>
      <c r="G26" s="3" t="s">
        <v>116</v>
      </c>
      <c r="H26" s="2" t="s">
        <v>36</v>
      </c>
      <c r="I26" s="2" t="s">
        <v>117</v>
      </c>
      <c r="J26" s="3" t="str">
        <f>HYPERLINK("https://www.boe.es/gazeta/dias/1818/07/11/pdfs/GMD-1818-83.pdf#page=12","Abrir facsímil")</f>
        <v>Abrir facsímil</v>
      </c>
      <c r="K26" s="3" t="s">
        <v>38</v>
      </c>
    </row>
    <row r="27" spans="1:11" ht="42" customHeight="1">
      <c r="A27" s="2" t="s">
        <v>118</v>
      </c>
      <c r="B27" s="2" t="s">
        <v>118</v>
      </c>
      <c r="C27" s="2" t="s">
        <v>26</v>
      </c>
      <c r="D27" s="2" t="s">
        <v>27</v>
      </c>
      <c r="E27" s="5">
        <v>-29836</v>
      </c>
      <c r="F27" s="3" t="s">
        <v>119</v>
      </c>
      <c r="G27" s="3" t="s">
        <v>120</v>
      </c>
      <c r="H27" s="2" t="s">
        <v>36</v>
      </c>
      <c r="I27" s="2" t="s">
        <v>121</v>
      </c>
      <c r="J27" s="3" t="str">
        <f>HYPERLINK("https://www.boe.es/gazeta/dias/1818/04/23/pdfs/GMD-1818-49.pdf#page=2","Abrir facsímil")</f>
        <v>Abrir facsímil</v>
      </c>
      <c r="K27" s="3" t="s">
        <v>38</v>
      </c>
    </row>
    <row r="28" spans="1:11" ht="42" customHeight="1">
      <c r="A28" s="2" t="s">
        <v>122</v>
      </c>
      <c r="B28" s="2" t="s">
        <v>123</v>
      </c>
      <c r="C28" s="2" t="s">
        <v>33</v>
      </c>
      <c r="D28" s="2" t="s">
        <v>18</v>
      </c>
      <c r="E28" s="5">
        <v>-29845</v>
      </c>
      <c r="F28" s="3" t="s">
        <v>105</v>
      </c>
      <c r="G28" s="3" t="s">
        <v>45</v>
      </c>
      <c r="H28" s="2" t="s">
        <v>36</v>
      </c>
      <c r="I28" s="2" t="s">
        <v>124</v>
      </c>
      <c r="J28" s="3" t="str">
        <f>HYPERLINK("https://www.boe.es/gazeta/dias/1818/04/14/pdfs/GMD-1818-45.pdf#page=8","Abrir facsímil")</f>
        <v>Abrir facsímil</v>
      </c>
      <c r="K28" s="3" t="s">
        <v>38</v>
      </c>
    </row>
    <row r="29" spans="1:11" ht="42" customHeight="1">
      <c r="A29" s="2" t="s">
        <v>125</v>
      </c>
      <c r="B29" s="2" t="s">
        <v>126</v>
      </c>
      <c r="C29" s="2" t="s">
        <v>57</v>
      </c>
      <c r="D29" s="2" t="s">
        <v>18</v>
      </c>
      <c r="E29" s="5">
        <v>-29794</v>
      </c>
      <c r="F29" s="3" t="s">
        <v>127</v>
      </c>
      <c r="G29" s="3" t="s">
        <v>20</v>
      </c>
      <c r="H29" s="2" t="s">
        <v>36</v>
      </c>
      <c r="I29" s="2" t="s">
        <v>128</v>
      </c>
      <c r="J29" s="3" t="str">
        <f>HYPERLINK("https://www.boe.es/gazeta/dias/1818/06/04/pdfs/GMD-1818-67.pdf#page=7","Abrir facsímil")</f>
        <v>Abrir facsímil</v>
      </c>
      <c r="K29" s="3" t="s">
        <v>38</v>
      </c>
    </row>
    <row r="30" spans="1:11" ht="42" customHeight="1">
      <c r="A30" s="2" t="s">
        <v>129</v>
      </c>
      <c r="B30" s="2" t="s">
        <v>130</v>
      </c>
      <c r="C30" s="2" t="s">
        <v>17</v>
      </c>
      <c r="D30" s="2" t="s">
        <v>18</v>
      </c>
      <c r="E30" s="5">
        <v>-29624</v>
      </c>
      <c r="F30" s="3" t="s">
        <v>131</v>
      </c>
      <c r="G30" s="3" t="s">
        <v>20</v>
      </c>
      <c r="H30" s="2" t="s">
        <v>36</v>
      </c>
      <c r="I30" s="2" t="s">
        <v>132</v>
      </c>
      <c r="J30" s="3" t="str">
        <f>HYPERLINK("https://www.boe.es/gazeta/dias/1818/11/21/pdfs/GMD-1818-141.pdf#page=7","Abrir facsímil")</f>
        <v>Abrir facsímil</v>
      </c>
      <c r="K30" s="3" t="s">
        <v>38</v>
      </c>
    </row>
    <row r="31" spans="1:11" ht="42" customHeight="1">
      <c r="A31" s="2" t="s">
        <v>133</v>
      </c>
      <c r="B31" s="2" t="s">
        <v>134</v>
      </c>
      <c r="C31" s="2" t="s">
        <v>57</v>
      </c>
      <c r="D31" s="2" t="s">
        <v>18</v>
      </c>
      <c r="E31" s="5">
        <v>-29799</v>
      </c>
      <c r="F31" s="3" t="s">
        <v>135</v>
      </c>
      <c r="G31" s="3" t="s">
        <v>136</v>
      </c>
      <c r="H31" s="2" t="s">
        <v>21</v>
      </c>
      <c r="I31" s="2" t="s">
        <v>137</v>
      </c>
      <c r="J31" s="3" t="str">
        <f>HYPERLINK("https://www.boe.es/gazeta/dias/1818/05/30/pdfs/GMD-1818-65.pdf#page=5","Abrir facsímil")</f>
        <v>Abrir facsímil</v>
      </c>
      <c r="K31" s="3" t="s">
        <v>23</v>
      </c>
    </row>
    <row r="32" spans="1:11" ht="42" customHeight="1">
      <c r="A32" s="2" t="s">
        <v>138</v>
      </c>
      <c r="B32" s="2" t="s">
        <v>139</v>
      </c>
      <c r="C32" s="2" t="s">
        <v>26</v>
      </c>
      <c r="D32" s="2" t="s">
        <v>27</v>
      </c>
      <c r="E32" s="5">
        <v>-29869</v>
      </c>
      <c r="F32" s="3" t="s">
        <v>140</v>
      </c>
      <c r="G32" s="3" t="s">
        <v>59</v>
      </c>
      <c r="H32" s="2" t="s">
        <v>36</v>
      </c>
      <c r="I32" s="2" t="s">
        <v>141</v>
      </c>
      <c r="J32" s="3" t="str">
        <f>HYPERLINK("https://www.boe.es/gazeta/dias/1818/03/21/pdfs/GMD-1818-35.pdf#page=6","Abrir facsímil")</f>
        <v>Abrir facsímil</v>
      </c>
      <c r="K32" s="3" t="s">
        <v>38</v>
      </c>
    </row>
    <row r="33" spans="1:11" ht="42" customHeight="1">
      <c r="A33" s="2" t="s">
        <v>142</v>
      </c>
      <c r="B33" s="2" t="s">
        <v>143</v>
      </c>
      <c r="C33" s="2" t="s">
        <v>68</v>
      </c>
      <c r="D33" s="2" t="s">
        <v>69</v>
      </c>
      <c r="E33" s="5">
        <v>-29691</v>
      </c>
      <c r="F33" s="3" t="s">
        <v>144</v>
      </c>
      <c r="G33" s="3" t="s">
        <v>59</v>
      </c>
      <c r="H33" s="2" t="s">
        <v>36</v>
      </c>
      <c r="I33" s="2" t="s">
        <v>145</v>
      </c>
      <c r="J33" s="3" t="str">
        <f>HYPERLINK("https://www.boe.es/gazeta/dias/1818/09/15/pdfs/GMD-1818-111.pdf#page=6","Abrir facsímil")</f>
        <v>Abrir facsímil</v>
      </c>
      <c r="K33" s="3" t="s">
        <v>38</v>
      </c>
    </row>
    <row r="34" spans="1:11" ht="42" customHeight="1">
      <c r="A34" s="2" t="s">
        <v>146</v>
      </c>
      <c r="B34" s="2" t="s">
        <v>147</v>
      </c>
      <c r="C34" s="2" t="s">
        <v>17</v>
      </c>
      <c r="D34" s="2" t="s">
        <v>18</v>
      </c>
      <c r="E34" s="5">
        <v>-29698</v>
      </c>
      <c r="F34" s="3" t="s">
        <v>148</v>
      </c>
      <c r="G34" s="3" t="s">
        <v>29</v>
      </c>
      <c r="H34" s="2" t="s">
        <v>36</v>
      </c>
      <c r="I34" s="2" t="s">
        <v>149</v>
      </c>
      <c r="J34" s="3" t="str">
        <f>HYPERLINK("https://www.boe.es/gazeta/dias/1818/09/08/pdfs/GMD-1818-108.pdf#page=4","Abrir facsímil")</f>
        <v>Abrir facsímil</v>
      </c>
      <c r="K34" s="3" t="s">
        <v>38</v>
      </c>
    </row>
    <row r="35" spans="1:11" ht="42" customHeight="1">
      <c r="A35" s="2" t="s">
        <v>150</v>
      </c>
      <c r="B35" s="2" t="s">
        <v>151</v>
      </c>
      <c r="C35" s="2" t="s">
        <v>26</v>
      </c>
      <c r="D35" s="2" t="s">
        <v>27</v>
      </c>
      <c r="E35" s="5">
        <v>-29740</v>
      </c>
      <c r="F35" s="3" t="s">
        <v>152</v>
      </c>
      <c r="G35" s="3" t="s">
        <v>153</v>
      </c>
      <c r="H35" s="2" t="s">
        <v>36</v>
      </c>
      <c r="I35" s="2" t="s">
        <v>154</v>
      </c>
      <c r="J35" s="3" t="str">
        <f>HYPERLINK("https://www.boe.es/gazeta/dias/1818/07/28/pdfs/GMD-1818-90.pdf#page=6","Abrir facsímil")</f>
        <v>Abrir facsímil</v>
      </c>
      <c r="K35" s="3" t="s">
        <v>38</v>
      </c>
    </row>
    <row r="36" spans="1:11" ht="42" customHeight="1">
      <c r="A36" s="2" t="s">
        <v>155</v>
      </c>
      <c r="B36" s="2" t="s">
        <v>156</v>
      </c>
      <c r="C36" s="2" t="s">
        <v>97</v>
      </c>
      <c r="D36" s="2" t="s">
        <v>18</v>
      </c>
      <c r="E36" s="5">
        <v>-29677</v>
      </c>
      <c r="F36" s="3" t="s">
        <v>157</v>
      </c>
      <c r="G36" s="3" t="s">
        <v>158</v>
      </c>
      <c r="H36" s="2" t="s">
        <v>36</v>
      </c>
      <c r="I36" s="2" t="s">
        <v>159</v>
      </c>
      <c r="J36" s="3" t="str">
        <f>HYPERLINK("https://www.boe.es/gazeta/dias/1818/09/29/pdfs/GMD-1818-117.pdf#page=8","Abrir facsímil")</f>
        <v>Abrir facsímil</v>
      </c>
      <c r="K36" s="3" t="s">
        <v>38</v>
      </c>
    </row>
    <row r="37" spans="1:11" ht="42" customHeight="1">
      <c r="A37" s="2" t="s">
        <v>160</v>
      </c>
      <c r="B37" s="2" t="s">
        <v>161</v>
      </c>
      <c r="C37" s="2" t="s">
        <v>26</v>
      </c>
      <c r="D37" s="2" t="s">
        <v>27</v>
      </c>
      <c r="E37" s="5">
        <v>-29670</v>
      </c>
      <c r="F37" s="3" t="s">
        <v>48</v>
      </c>
      <c r="G37" s="3" t="s">
        <v>49</v>
      </c>
      <c r="H37" s="2" t="s">
        <v>36</v>
      </c>
      <c r="I37" s="2" t="s">
        <v>162</v>
      </c>
      <c r="J37" s="3" t="str">
        <f>HYPERLINK("https://www.boe.es/gazeta/dias/1818/10/06/pdfs/GMD-1818-120.pdf#page=1","Abrir facsímil")</f>
        <v>Abrir facsímil</v>
      </c>
      <c r="K37" s="3" t="s">
        <v>38</v>
      </c>
    </row>
    <row r="38" spans="1:11" ht="42" customHeight="1">
      <c r="A38" s="2" t="s">
        <v>163</v>
      </c>
      <c r="B38" s="2" t="s">
        <v>164</v>
      </c>
      <c r="C38" s="2" t="s">
        <v>26</v>
      </c>
      <c r="D38" s="2" t="s">
        <v>27</v>
      </c>
      <c r="E38" s="5">
        <v>-29752</v>
      </c>
      <c r="F38" s="3" t="s">
        <v>165</v>
      </c>
      <c r="G38" s="3" t="s">
        <v>29</v>
      </c>
      <c r="H38" s="2" t="s">
        <v>36</v>
      </c>
      <c r="I38" s="2" t="s">
        <v>166</v>
      </c>
      <c r="J38" s="3" t="str">
        <f>HYPERLINK("https://www.boe.es/gazeta/dias/1818/07/16/pdfs/GMD-1818-85.pdf#page=4","Abrir facsímil")</f>
        <v>Abrir facsímil</v>
      </c>
      <c r="K38" s="3" t="s">
        <v>38</v>
      </c>
    </row>
    <row r="39" spans="1:11" ht="42" customHeight="1">
      <c r="A39" s="2" t="s">
        <v>167</v>
      </c>
      <c r="B39" s="2" t="s">
        <v>167</v>
      </c>
      <c r="C39" s="2" t="s">
        <v>26</v>
      </c>
      <c r="D39" s="2" t="s">
        <v>27</v>
      </c>
      <c r="E39" s="5">
        <v>-29761</v>
      </c>
      <c r="F39" s="3" t="s">
        <v>168</v>
      </c>
      <c r="G39" s="3" t="s">
        <v>20</v>
      </c>
      <c r="H39" s="2" t="s">
        <v>36</v>
      </c>
      <c r="I39" s="2" t="s">
        <v>169</v>
      </c>
      <c r="J39" s="3" t="str">
        <f>HYPERLINK("https://www.boe.es/gazeta/dias/1818/07/07/pdfs/GMD-1818-81.pdf#page=7","Abrir facsímil")</f>
        <v>Abrir facsímil</v>
      </c>
      <c r="K39" s="3" t="s">
        <v>38</v>
      </c>
    </row>
    <row r="40" spans="1:11" ht="42" customHeight="1">
      <c r="A40" s="2" t="s">
        <v>167</v>
      </c>
      <c r="B40" s="2" t="s">
        <v>167</v>
      </c>
      <c r="C40" s="2" t="s">
        <v>26</v>
      </c>
      <c r="D40" s="2" t="s">
        <v>27</v>
      </c>
      <c r="E40" s="5">
        <v>-29682</v>
      </c>
      <c r="F40" s="3" t="s">
        <v>170</v>
      </c>
      <c r="G40" s="3" t="s">
        <v>106</v>
      </c>
      <c r="H40" s="2" t="s">
        <v>36</v>
      </c>
      <c r="I40" s="2" t="s">
        <v>171</v>
      </c>
      <c r="J40" s="3" t="str">
        <f>HYPERLINK("https://www.boe.es/gazeta/dias/1818/09/24/pdfs/GMD-1818-115.pdf#page=5","Abrir facsímil")</f>
        <v>Abrir facsímil</v>
      </c>
      <c r="K40" s="3" t="s">
        <v>38</v>
      </c>
    </row>
    <row r="41" spans="1:11" ht="42" customHeight="1">
      <c r="A41" s="2" t="s">
        <v>172</v>
      </c>
      <c r="B41" s="2" t="s">
        <v>173</v>
      </c>
      <c r="C41" s="2" t="s">
        <v>26</v>
      </c>
      <c r="D41" s="2" t="s">
        <v>27</v>
      </c>
      <c r="E41" s="5">
        <v>-29922</v>
      </c>
      <c r="F41" s="3" t="s">
        <v>174</v>
      </c>
      <c r="G41" s="3" t="s">
        <v>175</v>
      </c>
      <c r="H41" s="2" t="s">
        <v>36</v>
      </c>
      <c r="I41" s="2" t="s">
        <v>176</v>
      </c>
      <c r="J41" s="3" t="str">
        <f>HYPERLINK("https://www.boe.es/gazeta/dias/1818/01/27/pdfs/GMD-1818-12.pdf#page=5","Abrir facsímil")</f>
        <v>Abrir facsímil</v>
      </c>
      <c r="K41" s="3" t="s">
        <v>38</v>
      </c>
    </row>
    <row r="42" spans="1:11" ht="42" customHeight="1">
      <c r="A42" s="2" t="s">
        <v>177</v>
      </c>
      <c r="B42" s="2" t="s">
        <v>178</v>
      </c>
      <c r="C42" s="2" t="s">
        <v>26</v>
      </c>
      <c r="D42" s="2" t="s">
        <v>27</v>
      </c>
      <c r="E42" s="5">
        <v>-29922</v>
      </c>
      <c r="F42" s="3" t="s">
        <v>174</v>
      </c>
      <c r="G42" s="3" t="s">
        <v>175</v>
      </c>
      <c r="H42" s="2" t="s">
        <v>36</v>
      </c>
      <c r="I42" s="2" t="s">
        <v>179</v>
      </c>
      <c r="J42" s="3" t="str">
        <f>HYPERLINK("https://www.boe.es/gazeta/dias/1818/01/27/pdfs/GMD-1818-12.pdf#page=5","Abrir facsímil")</f>
        <v>Abrir facsímil</v>
      </c>
      <c r="K42" s="3" t="s">
        <v>38</v>
      </c>
    </row>
    <row r="43" spans="1:11" ht="42" customHeight="1">
      <c r="A43" s="2" t="s">
        <v>180</v>
      </c>
      <c r="B43" s="2" t="s">
        <v>181</v>
      </c>
      <c r="C43" s="2" t="s">
        <v>26</v>
      </c>
      <c r="D43" s="2" t="s">
        <v>27</v>
      </c>
      <c r="E43" s="5">
        <v>-29843</v>
      </c>
      <c r="F43" s="3" t="s">
        <v>182</v>
      </c>
      <c r="G43" s="3" t="s">
        <v>59</v>
      </c>
      <c r="H43" s="2" t="s">
        <v>21</v>
      </c>
      <c r="I43" s="2" t="s">
        <v>183</v>
      </c>
      <c r="J43" s="3" t="str">
        <f>HYPERLINK("https://www.boe.es/gazeta/dias/1818/04/16/pdfs/GMD-1818-46.pdf#page=6","Abrir facsímil")</f>
        <v>Abrir facsímil</v>
      </c>
      <c r="K43" s="3" t="s">
        <v>23</v>
      </c>
    </row>
    <row r="44" spans="1:11" ht="42" customHeight="1">
      <c r="A44" s="2" t="s">
        <v>180</v>
      </c>
      <c r="B44" s="2" t="s">
        <v>181</v>
      </c>
      <c r="C44" s="2" t="s">
        <v>26</v>
      </c>
      <c r="D44" s="2" t="s">
        <v>27</v>
      </c>
      <c r="E44" s="5">
        <v>-29806</v>
      </c>
      <c r="F44" s="3" t="s">
        <v>84</v>
      </c>
      <c r="G44" s="3" t="s">
        <v>59</v>
      </c>
      <c r="H44" s="2" t="s">
        <v>21</v>
      </c>
      <c r="I44" s="2" t="s">
        <v>184</v>
      </c>
      <c r="J44" s="3" t="str">
        <f>HYPERLINK("https://www.boe.es/gazeta/dias/1818/05/23/pdfs/GMD-1818-62.pdf#page=6","Abrir facsímil")</f>
        <v>Abrir facsímil</v>
      </c>
      <c r="K44" s="3" t="s">
        <v>23</v>
      </c>
    </row>
    <row r="45" spans="1:11" ht="42" customHeight="1">
      <c r="A45" s="2" t="s">
        <v>180</v>
      </c>
      <c r="B45" s="2" t="s">
        <v>181</v>
      </c>
      <c r="C45" s="2" t="s">
        <v>26</v>
      </c>
      <c r="D45" s="2" t="s">
        <v>27</v>
      </c>
      <c r="E45" s="5">
        <v>-29593</v>
      </c>
      <c r="F45" s="3" t="s">
        <v>185</v>
      </c>
      <c r="G45" s="3" t="s">
        <v>186</v>
      </c>
      <c r="H45" s="2" t="s">
        <v>21</v>
      </c>
      <c r="I45" s="2" t="s">
        <v>187</v>
      </c>
      <c r="J45" s="3" t="str">
        <f>HYPERLINK("https://www.boe.es/gazeta/dias/1818/12/22/pdfs/GMD-1818-154.pdf#page=5","Abrir facsímil")</f>
        <v>Abrir facsímil</v>
      </c>
      <c r="K45" s="3" t="s">
        <v>23</v>
      </c>
    </row>
    <row r="46" spans="1:11" ht="42" customHeight="1">
      <c r="A46" s="2" t="s">
        <v>188</v>
      </c>
      <c r="B46" s="2" t="s">
        <v>189</v>
      </c>
      <c r="C46" s="2" t="s">
        <v>26</v>
      </c>
      <c r="D46" s="2" t="s">
        <v>27</v>
      </c>
      <c r="E46" s="5">
        <v>-29761</v>
      </c>
      <c r="F46" s="3" t="s">
        <v>168</v>
      </c>
      <c r="G46" s="3" t="s">
        <v>20</v>
      </c>
      <c r="H46" s="2" t="s">
        <v>21</v>
      </c>
      <c r="I46" s="2" t="s">
        <v>190</v>
      </c>
      <c r="J46" s="3" t="str">
        <f>HYPERLINK("https://www.boe.es/gazeta/dias/1818/07/07/pdfs/GMD-1818-81.pdf#page=7","Abrir facsímil")</f>
        <v>Abrir facsímil</v>
      </c>
      <c r="K46" s="3" t="s">
        <v>23</v>
      </c>
    </row>
    <row r="47" spans="1:11" ht="42" customHeight="1">
      <c r="A47" s="2" t="s">
        <v>191</v>
      </c>
      <c r="B47" s="2" t="s">
        <v>192</v>
      </c>
      <c r="C47" s="2" t="s">
        <v>26</v>
      </c>
      <c r="D47" s="2" t="s">
        <v>27</v>
      </c>
      <c r="E47" s="5">
        <v>-29806</v>
      </c>
      <c r="F47" s="3" t="s">
        <v>84</v>
      </c>
      <c r="G47" s="3" t="s">
        <v>59</v>
      </c>
      <c r="H47" s="2" t="s">
        <v>21</v>
      </c>
      <c r="I47" s="2" t="s">
        <v>193</v>
      </c>
      <c r="J47" s="3" t="str">
        <f>HYPERLINK("https://www.boe.es/gazeta/dias/1818/05/23/pdfs/GMD-1818-62.pdf#page=6","Abrir facsímil")</f>
        <v>Abrir facsímil</v>
      </c>
      <c r="K47" s="3" t="s">
        <v>23</v>
      </c>
    </row>
    <row r="48" spans="1:11" ht="42" customHeight="1">
      <c r="A48" s="2" t="s">
        <v>194</v>
      </c>
      <c r="B48" s="2" t="s">
        <v>195</v>
      </c>
      <c r="C48" s="2" t="s">
        <v>26</v>
      </c>
      <c r="D48" s="2" t="s">
        <v>27</v>
      </c>
      <c r="E48" s="5">
        <v>-29864</v>
      </c>
      <c r="F48" s="3" t="s">
        <v>196</v>
      </c>
      <c r="G48" s="3" t="s">
        <v>29</v>
      </c>
      <c r="H48" s="2" t="s">
        <v>21</v>
      </c>
      <c r="I48" s="2" t="s">
        <v>197</v>
      </c>
      <c r="J48" s="3" t="str">
        <f>HYPERLINK("https://www.boe.es/gazeta/dias/1818/03/26/pdfs/GMD-1818-37.pdf#page=4","Abrir facsímil")</f>
        <v>Abrir facsímil</v>
      </c>
      <c r="K48" s="3" t="s">
        <v>23</v>
      </c>
    </row>
    <row r="49" spans="1:11" ht="42" customHeight="1">
      <c r="A49" s="2" t="s">
        <v>198</v>
      </c>
      <c r="B49" s="2" t="s">
        <v>198</v>
      </c>
      <c r="C49" s="2" t="s">
        <v>26</v>
      </c>
      <c r="D49" s="2" t="s">
        <v>27</v>
      </c>
      <c r="E49" s="5">
        <v>-29948</v>
      </c>
      <c r="F49" s="3" t="s">
        <v>199</v>
      </c>
      <c r="G49" s="3" t="s">
        <v>20</v>
      </c>
      <c r="H49" s="2" t="s">
        <v>36</v>
      </c>
      <c r="I49" s="2" t="s">
        <v>200</v>
      </c>
      <c r="J49" s="3" t="str">
        <f>HYPERLINK("https://www.boe.es/gazeta/dias/1818/01/01/pdfs/GMD-1818-1.pdf#page=7","Abrir facsímil")</f>
        <v>Abrir facsímil</v>
      </c>
      <c r="K49" s="3" t="s">
        <v>38</v>
      </c>
    </row>
    <row r="50" spans="1:11" ht="42" customHeight="1">
      <c r="A50" s="2" t="s">
        <v>198</v>
      </c>
      <c r="B50" s="2" t="s">
        <v>198</v>
      </c>
      <c r="C50" s="2" t="s">
        <v>26</v>
      </c>
      <c r="D50" s="2" t="s">
        <v>27</v>
      </c>
      <c r="E50" s="5">
        <v>-29920</v>
      </c>
      <c r="F50" s="3" t="s">
        <v>201</v>
      </c>
      <c r="G50" s="3" t="s">
        <v>111</v>
      </c>
      <c r="H50" s="2" t="s">
        <v>36</v>
      </c>
      <c r="I50" s="2" t="s">
        <v>202</v>
      </c>
      <c r="J50" s="3" t="str">
        <f>HYPERLINK("https://www.boe.es/gazeta/dias/1818/01/29/pdfs/GMD-1818-13.pdf#page=11","Abrir facsímil")</f>
        <v>Abrir facsímil</v>
      </c>
      <c r="K50" s="3" t="s">
        <v>38</v>
      </c>
    </row>
    <row r="51" spans="1:11" ht="42" customHeight="1">
      <c r="A51" s="2" t="s">
        <v>203</v>
      </c>
      <c r="B51" s="2" t="s">
        <v>203</v>
      </c>
      <c r="C51" s="2" t="s">
        <v>17</v>
      </c>
      <c r="D51" s="2" t="s">
        <v>18</v>
      </c>
      <c r="E51" s="5">
        <v>-29929</v>
      </c>
      <c r="F51" s="3" t="s">
        <v>204</v>
      </c>
      <c r="G51" s="3" t="s">
        <v>29</v>
      </c>
      <c r="H51" s="2" t="s">
        <v>36</v>
      </c>
      <c r="I51" s="2" t="s">
        <v>205</v>
      </c>
      <c r="J51" s="3" t="str">
        <f>HYPERLINK("https://www.boe.es/gazeta/dias/1818/01/20/pdfs/GMD-1818-9.pdf#page=4","Abrir facsímil")</f>
        <v>Abrir facsímil</v>
      </c>
      <c r="K51" s="3" t="s">
        <v>38</v>
      </c>
    </row>
    <row r="52" spans="1:11" ht="42" customHeight="1">
      <c r="A52" s="2" t="s">
        <v>203</v>
      </c>
      <c r="B52" s="2" t="s">
        <v>203</v>
      </c>
      <c r="C52" s="2" t="s">
        <v>17</v>
      </c>
      <c r="D52" s="2" t="s">
        <v>18</v>
      </c>
      <c r="E52" s="5">
        <v>-29929</v>
      </c>
      <c r="F52" s="3" t="s">
        <v>204</v>
      </c>
      <c r="G52" s="3" t="s">
        <v>106</v>
      </c>
      <c r="H52" s="2" t="s">
        <v>36</v>
      </c>
      <c r="I52" s="2" t="s">
        <v>206</v>
      </c>
      <c r="J52" s="3" t="str">
        <f>HYPERLINK("https://www.boe.es/gazeta/dias/1818/01/20/pdfs/GMD-1818-9.pdf#page=5","Abrir facsímil")</f>
        <v>Abrir facsímil</v>
      </c>
      <c r="K52" s="3" t="s">
        <v>38</v>
      </c>
    </row>
    <row r="53" spans="1:11" ht="42" customHeight="1">
      <c r="A53" s="2" t="s">
        <v>203</v>
      </c>
      <c r="B53" s="2" t="s">
        <v>203</v>
      </c>
      <c r="C53" s="2" t="s">
        <v>26</v>
      </c>
      <c r="D53" s="2" t="s">
        <v>27</v>
      </c>
      <c r="E53" s="5">
        <v>-29752</v>
      </c>
      <c r="F53" s="3" t="s">
        <v>165</v>
      </c>
      <c r="G53" s="3" t="s">
        <v>106</v>
      </c>
      <c r="H53" s="2" t="s">
        <v>36</v>
      </c>
      <c r="I53" s="2" t="s">
        <v>207</v>
      </c>
      <c r="J53" s="3" t="str">
        <f>HYPERLINK("https://www.boe.es/gazeta/dias/1818/07/16/pdfs/GMD-1818-85.pdf#page=5","Abrir facsímil")</f>
        <v>Abrir facsímil</v>
      </c>
      <c r="K53" s="3" t="s">
        <v>38</v>
      </c>
    </row>
    <row r="54" spans="1:11" ht="42" customHeight="1">
      <c r="A54" s="2" t="s">
        <v>203</v>
      </c>
      <c r="B54" s="2" t="s">
        <v>203</v>
      </c>
      <c r="C54" s="2" t="s">
        <v>33</v>
      </c>
      <c r="D54" s="2" t="s">
        <v>18</v>
      </c>
      <c r="E54" s="5">
        <v>-29715</v>
      </c>
      <c r="F54" s="3" t="s">
        <v>208</v>
      </c>
      <c r="G54" s="3" t="s">
        <v>45</v>
      </c>
      <c r="H54" s="2" t="s">
        <v>36</v>
      </c>
      <c r="I54" s="2" t="s">
        <v>209</v>
      </c>
      <c r="J54" s="3" t="str">
        <f>HYPERLINK("https://www.boe.es/gazeta/dias/1818/08/22/pdfs/GMD-1818-101.pdf#page=8","Abrir facsímil")</f>
        <v>Abrir facsímil</v>
      </c>
      <c r="K54" s="3" t="s">
        <v>38</v>
      </c>
    </row>
    <row r="55" spans="1:11" ht="42" customHeight="1">
      <c r="A55" s="2" t="s">
        <v>203</v>
      </c>
      <c r="B55" s="2" t="s">
        <v>203</v>
      </c>
      <c r="C55" s="2" t="s">
        <v>57</v>
      </c>
      <c r="D55" s="2" t="s">
        <v>18</v>
      </c>
      <c r="E55" s="5">
        <v>-29589</v>
      </c>
      <c r="F55" s="3" t="s">
        <v>210</v>
      </c>
      <c r="G55" s="3" t="s">
        <v>211</v>
      </c>
      <c r="H55" s="2" t="s">
        <v>36</v>
      </c>
      <c r="I55" s="2" t="s">
        <v>212</v>
      </c>
      <c r="J55" s="3" t="str">
        <f>HYPERLINK("https://www.boe.es/gazeta/dias/1818/12/26/pdfs/GMD-1818-156.pdf#page=8","Abrir facsímil")</f>
        <v>Abrir facsímil</v>
      </c>
      <c r="K55" s="3" t="s">
        <v>38</v>
      </c>
    </row>
    <row r="56" spans="1:11" ht="42" customHeight="1">
      <c r="A56" s="2" t="s">
        <v>213</v>
      </c>
      <c r="B56" s="2" t="s">
        <v>214</v>
      </c>
      <c r="C56" s="2" t="s">
        <v>215</v>
      </c>
      <c r="D56" s="2" t="s">
        <v>18</v>
      </c>
      <c r="E56" s="5">
        <v>-29682</v>
      </c>
      <c r="F56" s="3" t="s">
        <v>170</v>
      </c>
      <c r="G56" s="3" t="s">
        <v>20</v>
      </c>
      <c r="H56" s="2" t="s">
        <v>36</v>
      </c>
      <c r="I56" s="2" t="s">
        <v>216</v>
      </c>
      <c r="J56" s="3" t="str">
        <f>HYPERLINK("https://www.boe.es/gazeta/dias/1818/09/24/pdfs/GMD-1818-115.pdf#page=7","Abrir facsímil")</f>
        <v>Abrir facsímil</v>
      </c>
      <c r="K56" s="3" t="s">
        <v>38</v>
      </c>
    </row>
    <row r="57" spans="1:11" ht="42" customHeight="1">
      <c r="A57" s="2" t="s">
        <v>217</v>
      </c>
      <c r="B57" s="2" t="s">
        <v>218</v>
      </c>
      <c r="C57" s="2" t="s">
        <v>68</v>
      </c>
      <c r="D57" s="2" t="s">
        <v>69</v>
      </c>
      <c r="E57" s="5">
        <v>-29654</v>
      </c>
      <c r="F57" s="3" t="s">
        <v>219</v>
      </c>
      <c r="G57" s="3" t="s">
        <v>20</v>
      </c>
      <c r="H57" s="2" t="s">
        <v>36</v>
      </c>
      <c r="I57" s="2" t="s">
        <v>220</v>
      </c>
      <c r="J57" s="3" t="str">
        <f>HYPERLINK("https://www.boe.es/gazeta/dias/1818/10/22/pdfs/GMD-1818-128.pdf#page=7","Abrir facsímil")</f>
        <v>Abrir facsímil</v>
      </c>
      <c r="K57" s="3" t="s">
        <v>38</v>
      </c>
    </row>
    <row r="58" spans="1:11" ht="42" customHeight="1">
      <c r="A58" s="2" t="s">
        <v>221</v>
      </c>
      <c r="B58" s="2" t="s">
        <v>221</v>
      </c>
      <c r="C58" s="2" t="s">
        <v>26</v>
      </c>
      <c r="D58" s="2" t="s">
        <v>27</v>
      </c>
      <c r="E58" s="5">
        <v>-29810</v>
      </c>
      <c r="F58" s="3" t="s">
        <v>222</v>
      </c>
      <c r="G58" s="3" t="s">
        <v>29</v>
      </c>
      <c r="H58" s="2" t="s">
        <v>36</v>
      </c>
      <c r="I58" s="2" t="s">
        <v>223</v>
      </c>
      <c r="J58" s="3" t="str">
        <f>HYPERLINK("https://www.boe.es/gazeta/dias/1818/05/19/pdfs/GMD-1818-60.pdf#page=4","Abrir facsímil")</f>
        <v>Abrir facsímil</v>
      </c>
      <c r="K58" s="3" t="s">
        <v>38</v>
      </c>
    </row>
    <row r="59" spans="1:11" ht="42" customHeight="1">
      <c r="A59" s="2" t="s">
        <v>224</v>
      </c>
      <c r="B59" s="2" t="s">
        <v>225</v>
      </c>
      <c r="C59" s="2" t="s">
        <v>26</v>
      </c>
      <c r="D59" s="2" t="s">
        <v>27</v>
      </c>
      <c r="E59" s="5">
        <v>-29782</v>
      </c>
      <c r="F59" s="3" t="s">
        <v>226</v>
      </c>
      <c r="G59" s="3" t="s">
        <v>20</v>
      </c>
      <c r="H59" s="2" t="s">
        <v>36</v>
      </c>
      <c r="I59" s="2" t="s">
        <v>227</v>
      </c>
      <c r="J59" s="3" t="str">
        <f>HYPERLINK("https://www.boe.es/gazeta/dias/1818/06/16/pdfs/GMD-1818-72.pdf#page=7","Abrir facsímil")</f>
        <v>Abrir facsímil</v>
      </c>
      <c r="K59" s="3" t="s">
        <v>38</v>
      </c>
    </row>
    <row r="60" spans="1:11" ht="42" customHeight="1">
      <c r="A60" s="2" t="s">
        <v>228</v>
      </c>
      <c r="B60" s="2" t="s">
        <v>228</v>
      </c>
      <c r="C60" s="2" t="s">
        <v>17</v>
      </c>
      <c r="D60" s="2" t="s">
        <v>18</v>
      </c>
      <c r="E60" s="5">
        <v>-29752</v>
      </c>
      <c r="F60" s="3" t="s">
        <v>165</v>
      </c>
      <c r="G60" s="3" t="s">
        <v>59</v>
      </c>
      <c r="H60" s="2" t="s">
        <v>36</v>
      </c>
      <c r="I60" s="2" t="s">
        <v>229</v>
      </c>
      <c r="J60" s="3" t="str">
        <f>HYPERLINK("https://www.boe.es/gazeta/dias/1818/07/16/pdfs/GMD-1818-85.pdf#page=6","Abrir facsímil")</f>
        <v>Abrir facsímil</v>
      </c>
      <c r="K60" s="3" t="s">
        <v>38</v>
      </c>
    </row>
    <row r="61" spans="1:11" ht="42" customHeight="1">
      <c r="A61" s="2" t="s">
        <v>230</v>
      </c>
      <c r="B61" s="2" t="s">
        <v>231</v>
      </c>
      <c r="C61" s="2" t="s">
        <v>17</v>
      </c>
      <c r="D61" s="2" t="s">
        <v>18</v>
      </c>
      <c r="E61" s="5">
        <v>-29899</v>
      </c>
      <c r="F61" s="3" t="s">
        <v>232</v>
      </c>
      <c r="G61" s="3" t="s">
        <v>20</v>
      </c>
      <c r="H61" s="2" t="s">
        <v>36</v>
      </c>
      <c r="I61" s="2" t="s">
        <v>233</v>
      </c>
      <c r="J61" s="3" t="str">
        <f>HYPERLINK("https://www.boe.es/gazeta/dias/1818/02/19/pdfs/GMD-1818-22.pdf#page=7","Abrir facsímil")</f>
        <v>Abrir facsímil</v>
      </c>
      <c r="K61" s="3" t="s">
        <v>38</v>
      </c>
    </row>
    <row r="62" spans="1:11" ht="42" customHeight="1">
      <c r="A62" s="2" t="s">
        <v>234</v>
      </c>
      <c r="B62" s="2" t="s">
        <v>235</v>
      </c>
      <c r="C62" s="2" t="s">
        <v>68</v>
      </c>
      <c r="D62" s="2" t="s">
        <v>69</v>
      </c>
      <c r="E62" s="5">
        <v>-29939</v>
      </c>
      <c r="F62" s="3" t="s">
        <v>110</v>
      </c>
      <c r="G62" s="3" t="s">
        <v>116</v>
      </c>
      <c r="H62" s="2" t="s">
        <v>36</v>
      </c>
      <c r="I62" s="2" t="s">
        <v>236</v>
      </c>
      <c r="J62" s="3" t="str">
        <f>HYPERLINK("https://www.boe.es/gazeta/dias/1818/01/10/pdfs/GMD-1818-5.pdf#page=12","Abrir facsímil")</f>
        <v>Abrir facsímil</v>
      </c>
      <c r="K62" s="3" t="s">
        <v>38</v>
      </c>
    </row>
    <row r="63" spans="1:11" ht="42" customHeight="1">
      <c r="A63" s="2" t="s">
        <v>237</v>
      </c>
      <c r="B63" s="2" t="s">
        <v>238</v>
      </c>
      <c r="C63" s="2" t="s">
        <v>17</v>
      </c>
      <c r="D63" s="2" t="s">
        <v>18</v>
      </c>
      <c r="E63" s="5">
        <v>-29778</v>
      </c>
      <c r="F63" s="3" t="s">
        <v>239</v>
      </c>
      <c r="G63" s="3" t="s">
        <v>45</v>
      </c>
      <c r="H63" s="2" t="s">
        <v>36</v>
      </c>
      <c r="I63" s="2" t="s">
        <v>240</v>
      </c>
      <c r="J63" s="3" t="str">
        <f>HYPERLINK("https://www.boe.es/gazeta/dias/1818/06/20/pdfs/GMD-1818-74.pdf#page=8","Abrir facsímil")</f>
        <v>Abrir facsímil</v>
      </c>
      <c r="K63" s="3" t="s">
        <v>38</v>
      </c>
    </row>
    <row r="64" spans="1:11" ht="42" customHeight="1">
      <c r="A64" s="2" t="s">
        <v>241</v>
      </c>
      <c r="B64" s="2" t="s">
        <v>242</v>
      </c>
      <c r="C64" s="2" t="s">
        <v>26</v>
      </c>
      <c r="D64" s="2" t="s">
        <v>27</v>
      </c>
      <c r="E64" s="5">
        <v>-29719</v>
      </c>
      <c r="F64" s="3" t="s">
        <v>243</v>
      </c>
      <c r="G64" s="3" t="s">
        <v>244</v>
      </c>
      <c r="H64" s="2" t="s">
        <v>36</v>
      </c>
      <c r="I64" s="2" t="s">
        <v>245</v>
      </c>
      <c r="J64" s="3" t="str">
        <f>HYPERLINK("https://www.boe.es/gazeta/dias/1818/08/18/pdfs/GMD-1818-99.pdf#page=5","Abrir facsímil")</f>
        <v>Abrir facsímil</v>
      </c>
      <c r="K64" s="3" t="s">
        <v>38</v>
      </c>
    </row>
    <row r="65" spans="1:11" ht="42" customHeight="1">
      <c r="A65" s="2" t="s">
        <v>246</v>
      </c>
      <c r="B65" s="2" t="s">
        <v>247</v>
      </c>
      <c r="C65" s="2" t="s">
        <v>17</v>
      </c>
      <c r="D65" s="2" t="s">
        <v>18</v>
      </c>
      <c r="E65" s="5">
        <v>-29642</v>
      </c>
      <c r="F65" s="3" t="s">
        <v>248</v>
      </c>
      <c r="G65" s="3" t="s">
        <v>249</v>
      </c>
      <c r="H65" s="2" t="s">
        <v>36</v>
      </c>
      <c r="I65" s="2" t="s">
        <v>250</v>
      </c>
      <c r="J65" s="3" t="str">
        <f>HYPERLINK("https://www.boe.es/gazeta/dias/1818/11/03/pdfs/GMD-1818-133.pdf#page=8","Abrir facsímil")</f>
        <v>Abrir facsímil</v>
      </c>
      <c r="K65" s="3" t="s">
        <v>38</v>
      </c>
    </row>
    <row r="66" spans="1:11" ht="42" customHeight="1">
      <c r="A66" s="2" t="s">
        <v>251</v>
      </c>
      <c r="B66" s="2" t="s">
        <v>252</v>
      </c>
      <c r="C66" s="2" t="s">
        <v>26</v>
      </c>
      <c r="D66" s="2" t="s">
        <v>27</v>
      </c>
      <c r="E66" s="5">
        <v>-29768</v>
      </c>
      <c r="F66" s="3" t="s">
        <v>253</v>
      </c>
      <c r="G66" s="3" t="s">
        <v>254</v>
      </c>
      <c r="H66" s="2" t="s">
        <v>36</v>
      </c>
      <c r="I66" s="2" t="s">
        <v>255</v>
      </c>
      <c r="J66" s="3" t="str">
        <f>HYPERLINK("https://www.boe.es/gazeta/dias/1818/06/30/pdfs/GMD-1818-78.pdf#page=6","Abrir facsímil")</f>
        <v>Abrir facsímil</v>
      </c>
      <c r="K66" s="3" t="s">
        <v>38</v>
      </c>
    </row>
    <row r="67" spans="1:11" ht="42" customHeight="1">
      <c r="A67" s="2" t="s">
        <v>256</v>
      </c>
      <c r="B67" s="2" t="s">
        <v>257</v>
      </c>
      <c r="C67" s="2" t="s">
        <v>97</v>
      </c>
      <c r="D67" s="2" t="s">
        <v>18</v>
      </c>
      <c r="E67" s="5">
        <v>-29666</v>
      </c>
      <c r="F67" s="3" t="s">
        <v>258</v>
      </c>
      <c r="G67" s="3" t="s">
        <v>259</v>
      </c>
      <c r="H67" s="2" t="s">
        <v>36</v>
      </c>
      <c r="I67" s="2" t="s">
        <v>260</v>
      </c>
      <c r="J67" s="3" t="str">
        <f>HYPERLINK("https://www.boe.es/gazeta/dias/1818/10/10/pdfs/GMD-1818-122.pdf#page=8","Abrir facsímil")</f>
        <v>Abrir facsímil</v>
      </c>
      <c r="K67" s="3" t="s">
        <v>38</v>
      </c>
    </row>
    <row r="68" spans="1:11" ht="42" customHeight="1">
      <c r="A68" s="2" t="s">
        <v>261</v>
      </c>
      <c r="B68" s="2" t="s">
        <v>262</v>
      </c>
      <c r="C68" s="2" t="s">
        <v>26</v>
      </c>
      <c r="D68" s="2" t="s">
        <v>27</v>
      </c>
      <c r="E68" s="5">
        <v>-29738</v>
      </c>
      <c r="F68" s="3" t="s">
        <v>263</v>
      </c>
      <c r="G68" s="3" t="s">
        <v>20</v>
      </c>
      <c r="H68" s="2" t="s">
        <v>36</v>
      </c>
      <c r="I68" s="2" t="s">
        <v>264</v>
      </c>
      <c r="J68" s="3" t="str">
        <f>HYPERLINK("https://www.boe.es/gazeta/dias/1818/07/30/pdfs/GMD-1818-91.pdf#page=7","Abrir facsímil")</f>
        <v>Abrir facsímil</v>
      </c>
      <c r="K68" s="3" t="s">
        <v>38</v>
      </c>
    </row>
    <row r="69" spans="1:11" ht="42" customHeight="1">
      <c r="A69" s="2" t="s">
        <v>265</v>
      </c>
      <c r="B69" s="2" t="s">
        <v>266</v>
      </c>
      <c r="C69" s="2" t="s">
        <v>26</v>
      </c>
      <c r="D69" s="2" t="s">
        <v>27</v>
      </c>
      <c r="E69" s="5">
        <v>-29752</v>
      </c>
      <c r="F69" s="3" t="s">
        <v>165</v>
      </c>
      <c r="G69" s="3" t="s">
        <v>20</v>
      </c>
      <c r="H69" s="2" t="s">
        <v>36</v>
      </c>
      <c r="I69" s="2" t="s">
        <v>267</v>
      </c>
      <c r="J69" s="3" t="str">
        <f>HYPERLINK("https://www.boe.es/gazeta/dias/1818/07/16/pdfs/GMD-1818-85.pdf#page=7","Abrir facsímil")</f>
        <v>Abrir facsímil</v>
      </c>
      <c r="K69" s="3" t="s">
        <v>38</v>
      </c>
    </row>
    <row r="70" spans="1:11" ht="42" customHeight="1">
      <c r="A70" s="2" t="s">
        <v>268</v>
      </c>
      <c r="B70" s="2" t="s">
        <v>269</v>
      </c>
      <c r="C70" s="2" t="s">
        <v>57</v>
      </c>
      <c r="D70" s="2" t="s">
        <v>18</v>
      </c>
      <c r="E70" s="5">
        <v>-29619</v>
      </c>
      <c r="F70" s="3" t="s">
        <v>64</v>
      </c>
      <c r="G70" s="3" t="s">
        <v>20</v>
      </c>
      <c r="H70" s="2" t="s">
        <v>36</v>
      </c>
      <c r="I70" s="2" t="s">
        <v>270</v>
      </c>
      <c r="J70" s="3" t="str">
        <f>HYPERLINK("https://www.boe.es/gazeta/dias/1818/11/26/pdfs/GMD-1818-143.pdf#page=7","Abrir facsímil")</f>
        <v>Abrir facsímil</v>
      </c>
      <c r="K70" s="3" t="s">
        <v>38</v>
      </c>
    </row>
    <row r="71" spans="1:11" ht="42" customHeight="1">
      <c r="A71" s="2" t="s">
        <v>271</v>
      </c>
      <c r="B71" s="2" t="s">
        <v>272</v>
      </c>
      <c r="C71" s="2" t="s">
        <v>68</v>
      </c>
      <c r="D71" s="2" t="s">
        <v>69</v>
      </c>
      <c r="E71" s="5">
        <v>-29757</v>
      </c>
      <c r="F71" s="3" t="s">
        <v>115</v>
      </c>
      <c r="G71" s="3" t="s">
        <v>29</v>
      </c>
      <c r="H71" s="2" t="s">
        <v>36</v>
      </c>
      <c r="I71" s="2" t="s">
        <v>273</v>
      </c>
      <c r="J71" s="3" t="str">
        <f>HYPERLINK("https://www.boe.es/gazeta/dias/1818/07/11/pdfs/GMD-1818-83.pdf#page=4","Abrir facsímil")</f>
        <v>Abrir facsímil</v>
      </c>
      <c r="K71" s="3" t="s">
        <v>38</v>
      </c>
    </row>
    <row r="72" spans="1:11" ht="42" customHeight="1">
      <c r="A72" s="2" t="s">
        <v>274</v>
      </c>
      <c r="B72" s="2" t="s">
        <v>275</v>
      </c>
      <c r="C72" s="2" t="s">
        <v>68</v>
      </c>
      <c r="D72" s="2" t="s">
        <v>69</v>
      </c>
      <c r="E72" s="5">
        <v>-29766</v>
      </c>
      <c r="F72" s="3" t="s">
        <v>276</v>
      </c>
      <c r="G72" s="3" t="s">
        <v>45</v>
      </c>
      <c r="H72" s="2" t="s">
        <v>36</v>
      </c>
      <c r="I72" s="2" t="s">
        <v>277</v>
      </c>
      <c r="J72" s="3" t="str">
        <f>HYPERLINK("https://www.boe.es/gazeta/dias/1818/07/02/pdfs/GMD-1818-79.pdf#page=8","Abrir facsímil")</f>
        <v>Abrir facsímil</v>
      </c>
      <c r="K72" s="3" t="s">
        <v>38</v>
      </c>
    </row>
    <row r="73" spans="1:11" ht="42" customHeight="1">
      <c r="A73" s="2" t="s">
        <v>278</v>
      </c>
      <c r="B73" s="2" t="s">
        <v>279</v>
      </c>
      <c r="C73" s="2" t="s">
        <v>17</v>
      </c>
      <c r="D73" s="2" t="s">
        <v>18</v>
      </c>
      <c r="E73" s="5">
        <v>-29827</v>
      </c>
      <c r="F73" s="3" t="s">
        <v>280</v>
      </c>
      <c r="G73" s="3" t="s">
        <v>20</v>
      </c>
      <c r="H73" s="2" t="s">
        <v>36</v>
      </c>
      <c r="I73" s="2" t="s">
        <v>281</v>
      </c>
      <c r="J73" s="3" t="str">
        <f>HYPERLINK("https://www.boe.es/gazeta/dias/1818/05/02/pdfs/GMD-1818-53.pdf#page=7","Abrir facsímil")</f>
        <v>Abrir facsímil</v>
      </c>
      <c r="K73" s="3" t="s">
        <v>38</v>
      </c>
    </row>
    <row r="74" spans="1:11" ht="42" customHeight="1">
      <c r="A74" s="2" t="s">
        <v>282</v>
      </c>
      <c r="B74" s="2" t="s">
        <v>283</v>
      </c>
      <c r="C74" s="2" t="s">
        <v>97</v>
      </c>
      <c r="D74" s="2" t="s">
        <v>18</v>
      </c>
      <c r="E74" s="5">
        <v>-29817</v>
      </c>
      <c r="F74" s="3" t="s">
        <v>284</v>
      </c>
      <c r="G74" s="3" t="s">
        <v>45</v>
      </c>
      <c r="H74" s="2" t="s">
        <v>36</v>
      </c>
      <c r="I74" s="2" t="s">
        <v>285</v>
      </c>
      <c r="J74" s="3" t="str">
        <f>HYPERLINK("https://www.boe.es/gazeta/dias/1818/05/12/pdfs/GMD-1818-57.pdf#page=8","Abrir facsímil")</f>
        <v>Abrir facsímil</v>
      </c>
      <c r="K74" s="3" t="s">
        <v>38</v>
      </c>
    </row>
    <row r="75" spans="1:11" ht="42" customHeight="1">
      <c r="A75" s="2" t="s">
        <v>286</v>
      </c>
      <c r="B75" s="2" t="s">
        <v>287</v>
      </c>
      <c r="C75" s="2" t="s">
        <v>97</v>
      </c>
      <c r="D75" s="2" t="s">
        <v>18</v>
      </c>
      <c r="E75" s="5">
        <v>-29801</v>
      </c>
      <c r="F75" s="3" t="s">
        <v>288</v>
      </c>
      <c r="G75" s="3" t="s">
        <v>20</v>
      </c>
      <c r="H75" s="2" t="s">
        <v>36</v>
      </c>
      <c r="I75" s="2" t="s">
        <v>289</v>
      </c>
      <c r="J75" s="3" t="str">
        <f>HYPERLINK("https://www.boe.es/gazeta/dias/1818/05/28/pdfs/GMD-1818-64.pdf#page=7","Abrir facsímil")</f>
        <v>Abrir facsímil</v>
      </c>
      <c r="K75" s="3" t="s">
        <v>38</v>
      </c>
    </row>
    <row r="76" spans="1:11" ht="42" customHeight="1">
      <c r="A76" s="2" t="s">
        <v>290</v>
      </c>
      <c r="B76" s="2" t="s">
        <v>290</v>
      </c>
      <c r="C76" s="2" t="s">
        <v>33</v>
      </c>
      <c r="D76" s="2" t="s">
        <v>18</v>
      </c>
      <c r="E76" s="5">
        <v>-29778</v>
      </c>
      <c r="F76" s="3" t="s">
        <v>239</v>
      </c>
      <c r="G76" s="3" t="s">
        <v>29</v>
      </c>
      <c r="H76" s="2" t="s">
        <v>36</v>
      </c>
      <c r="I76" s="2" t="s">
        <v>291</v>
      </c>
      <c r="J76" s="3" t="str">
        <f>HYPERLINK("https://www.boe.es/gazeta/dias/1818/06/20/pdfs/GMD-1818-74.pdf#page=4","Abrir facsímil")</f>
        <v>Abrir facsímil</v>
      </c>
      <c r="K76" s="3" t="s">
        <v>38</v>
      </c>
    </row>
    <row r="77" spans="1:11" ht="42" customHeight="1">
      <c r="A77" s="2" t="s">
        <v>292</v>
      </c>
      <c r="B77" s="2" t="s">
        <v>293</v>
      </c>
      <c r="C77" s="2" t="s">
        <v>26</v>
      </c>
      <c r="D77" s="2" t="s">
        <v>27</v>
      </c>
      <c r="E77" s="5">
        <v>-29703</v>
      </c>
      <c r="F77" s="3" t="s">
        <v>294</v>
      </c>
      <c r="G77" s="3" t="s">
        <v>295</v>
      </c>
      <c r="H77" s="2" t="s">
        <v>36</v>
      </c>
      <c r="I77" s="2" t="s">
        <v>296</v>
      </c>
      <c r="J77" s="3" t="str">
        <f>HYPERLINK("https://www.boe.es/gazeta/dias/1818/09/03/pdfs/GMD-1818-106.pdf#page=5","Abrir facsímil")</f>
        <v>Abrir facsímil</v>
      </c>
      <c r="K77" s="3" t="s">
        <v>38</v>
      </c>
    </row>
    <row r="78" spans="1:11" ht="42" customHeight="1">
      <c r="A78" s="2" t="s">
        <v>297</v>
      </c>
      <c r="B78" s="2" t="s">
        <v>298</v>
      </c>
      <c r="C78" s="2" t="s">
        <v>26</v>
      </c>
      <c r="D78" s="2" t="s">
        <v>27</v>
      </c>
      <c r="E78" s="5">
        <v>-29731</v>
      </c>
      <c r="F78" s="3" t="s">
        <v>299</v>
      </c>
      <c r="G78" s="3" t="s">
        <v>45</v>
      </c>
      <c r="H78" s="2" t="s">
        <v>36</v>
      </c>
      <c r="I78" s="2" t="s">
        <v>300</v>
      </c>
      <c r="J78" s="3" t="str">
        <f>HYPERLINK("https://www.boe.es/gazeta/dias/1818/08/06/pdfs/GMD-1818-94.pdf#page=8","Abrir facsímil")</f>
        <v>Abrir facsímil</v>
      </c>
      <c r="K78" s="3" t="s">
        <v>38</v>
      </c>
    </row>
    <row r="79" spans="1:11" ht="42" customHeight="1">
      <c r="A79" s="2" t="s">
        <v>301</v>
      </c>
      <c r="B79" s="2" t="s">
        <v>302</v>
      </c>
      <c r="C79" s="2" t="s">
        <v>68</v>
      </c>
      <c r="D79" s="2" t="s">
        <v>69</v>
      </c>
      <c r="E79" s="5">
        <v>-29689</v>
      </c>
      <c r="F79" s="3" t="s">
        <v>303</v>
      </c>
      <c r="G79" s="3" t="s">
        <v>45</v>
      </c>
      <c r="H79" s="2" t="s">
        <v>36</v>
      </c>
      <c r="I79" s="2" t="s">
        <v>304</v>
      </c>
      <c r="J79" s="3" t="str">
        <f>HYPERLINK("https://www.boe.es/gazeta/dias/1818/09/17/pdfs/GMD-1818-112.pdf#page=8","Abrir facsímil")</f>
        <v>Abrir facsímil</v>
      </c>
      <c r="K79" s="3" t="s">
        <v>38</v>
      </c>
    </row>
    <row r="80" spans="1:11" ht="42" customHeight="1">
      <c r="A80" s="2" t="s">
        <v>305</v>
      </c>
      <c r="B80" s="2" t="s">
        <v>306</v>
      </c>
      <c r="C80" s="2" t="s">
        <v>68</v>
      </c>
      <c r="D80" s="2" t="s">
        <v>69</v>
      </c>
      <c r="E80" s="5">
        <v>-29638</v>
      </c>
      <c r="F80" s="3" t="s">
        <v>307</v>
      </c>
      <c r="G80" s="3" t="s">
        <v>45</v>
      </c>
      <c r="H80" s="2" t="s">
        <v>36</v>
      </c>
      <c r="I80" s="2" t="s">
        <v>308</v>
      </c>
      <c r="J80" s="3" t="str">
        <f>HYPERLINK("https://www.boe.es/gazeta/dias/1818/11/07/pdfs/GMD-1818-135.pdf#page=8","Abrir facsímil")</f>
        <v>Abrir facsímil</v>
      </c>
      <c r="K80" s="3" t="s">
        <v>38</v>
      </c>
    </row>
    <row r="81" spans="1:11" ht="42" customHeight="1">
      <c r="A81" s="2" t="s">
        <v>309</v>
      </c>
      <c r="B81" s="2" t="s">
        <v>310</v>
      </c>
      <c r="C81" s="2" t="s">
        <v>68</v>
      </c>
      <c r="D81" s="2" t="s">
        <v>69</v>
      </c>
      <c r="E81" s="5">
        <v>-29684</v>
      </c>
      <c r="F81" s="3" t="s">
        <v>311</v>
      </c>
      <c r="G81" s="3" t="s">
        <v>45</v>
      </c>
      <c r="H81" s="2" t="s">
        <v>36</v>
      </c>
      <c r="I81" s="2" t="s">
        <v>312</v>
      </c>
      <c r="J81" s="3" t="str">
        <f>HYPERLINK("https://www.boe.es/gazeta/dias/1818/09/22/pdfs/GMD-1818-114.pdf#page=8","Abrir facsímil")</f>
        <v>Abrir facsímil</v>
      </c>
      <c r="K81" s="3" t="s">
        <v>38</v>
      </c>
    </row>
    <row r="82" spans="1:11" ht="42" customHeight="1">
      <c r="A82" s="2" t="s">
        <v>313</v>
      </c>
      <c r="B82" s="2" t="s">
        <v>314</v>
      </c>
      <c r="C82" s="2" t="s">
        <v>68</v>
      </c>
      <c r="D82" s="2" t="s">
        <v>69</v>
      </c>
      <c r="E82" s="5">
        <v>-29677</v>
      </c>
      <c r="F82" s="3" t="s">
        <v>157</v>
      </c>
      <c r="G82" s="3" t="s">
        <v>158</v>
      </c>
      <c r="H82" s="2" t="s">
        <v>36</v>
      </c>
      <c r="I82" s="2" t="s">
        <v>315</v>
      </c>
      <c r="J82" s="3" t="str">
        <f>HYPERLINK("https://www.boe.es/gazeta/dias/1818/09/29/pdfs/GMD-1818-117.pdf#page=8","Abrir facsímil")</f>
        <v>Abrir facsímil</v>
      </c>
      <c r="K82" s="3" t="s">
        <v>38</v>
      </c>
    </row>
    <row r="83" spans="1:11" ht="42" customHeight="1">
      <c r="A83" s="2" t="s">
        <v>316</v>
      </c>
      <c r="B83" s="2" t="s">
        <v>317</v>
      </c>
      <c r="C83" s="2" t="s">
        <v>26</v>
      </c>
      <c r="D83" s="2" t="s">
        <v>27</v>
      </c>
      <c r="E83" s="5">
        <v>-29897</v>
      </c>
      <c r="F83" s="3" t="s">
        <v>318</v>
      </c>
      <c r="G83" s="3" t="s">
        <v>59</v>
      </c>
      <c r="H83" s="2" t="s">
        <v>36</v>
      </c>
      <c r="I83" s="2" t="s">
        <v>319</v>
      </c>
      <c r="J83" s="3" t="str">
        <f>HYPERLINK("https://www.boe.es/gazeta/dias/1818/02/21/pdfs/GMD-1818-23.pdf#page=6","Abrir facsímil")</f>
        <v>Abrir facsímil</v>
      </c>
      <c r="K83" s="3" t="s">
        <v>38</v>
      </c>
    </row>
    <row r="84" spans="1:11" ht="42" customHeight="1">
      <c r="A84" s="2" t="s">
        <v>316</v>
      </c>
      <c r="B84" s="2" t="s">
        <v>317</v>
      </c>
      <c r="C84" s="2" t="s">
        <v>17</v>
      </c>
      <c r="D84" s="2" t="s">
        <v>18</v>
      </c>
      <c r="E84" s="5">
        <v>-29897</v>
      </c>
      <c r="F84" s="3" t="s">
        <v>318</v>
      </c>
      <c r="G84" s="3" t="s">
        <v>20</v>
      </c>
      <c r="H84" s="2" t="s">
        <v>36</v>
      </c>
      <c r="I84" s="2" t="s">
        <v>320</v>
      </c>
      <c r="J84" s="3" t="str">
        <f>HYPERLINK("https://www.boe.es/gazeta/dias/1818/02/21/pdfs/GMD-1818-23.pdf#page=7","Abrir facsímil")</f>
        <v>Abrir facsímil</v>
      </c>
      <c r="K84" s="3" t="s">
        <v>38</v>
      </c>
    </row>
    <row r="85" spans="1:11" ht="42" customHeight="1">
      <c r="A85" s="2" t="s">
        <v>321</v>
      </c>
      <c r="B85" s="2" t="s">
        <v>322</v>
      </c>
      <c r="C85" s="2" t="s">
        <v>57</v>
      </c>
      <c r="D85" s="2" t="s">
        <v>18</v>
      </c>
      <c r="E85" s="5">
        <v>-29873</v>
      </c>
      <c r="F85" s="3" t="s">
        <v>323</v>
      </c>
      <c r="G85" s="3" t="s">
        <v>45</v>
      </c>
      <c r="H85" s="2" t="s">
        <v>36</v>
      </c>
      <c r="I85" s="2" t="s">
        <v>324</v>
      </c>
      <c r="J85" s="3" t="str">
        <f>HYPERLINK("https://www.boe.es/gazeta/dias/1818/03/17/pdfs/GMD-1818-33.pdf#page=8","Abrir facsímil")</f>
        <v>Abrir facsímil</v>
      </c>
      <c r="K85" s="3" t="s">
        <v>38</v>
      </c>
    </row>
    <row r="86" spans="1:11" ht="42" customHeight="1">
      <c r="A86" s="2" t="s">
        <v>325</v>
      </c>
      <c r="B86" s="2" t="s">
        <v>326</v>
      </c>
      <c r="C86" s="2" t="s">
        <v>26</v>
      </c>
      <c r="D86" s="2" t="s">
        <v>27</v>
      </c>
      <c r="E86" s="5">
        <v>-29852</v>
      </c>
      <c r="F86" s="3" t="s">
        <v>327</v>
      </c>
      <c r="G86" s="3" t="s">
        <v>45</v>
      </c>
      <c r="H86" s="2" t="s">
        <v>36</v>
      </c>
      <c r="I86" s="2" t="s">
        <v>328</v>
      </c>
      <c r="J86" s="3" t="str">
        <f>HYPERLINK("https://www.boe.es/gazeta/dias/1818/04/07/pdfs/GMD-1818-42.pdf#page=8","Abrir facsímil")</f>
        <v>Abrir facsímil</v>
      </c>
      <c r="K86" s="3" t="s">
        <v>38</v>
      </c>
    </row>
    <row r="87" spans="1:11" ht="42" customHeight="1">
      <c r="A87" s="2" t="s">
        <v>329</v>
      </c>
      <c r="B87" s="2" t="s">
        <v>330</v>
      </c>
      <c r="C87" s="2" t="s">
        <v>215</v>
      </c>
      <c r="D87" s="2" t="s">
        <v>18</v>
      </c>
      <c r="E87" s="5">
        <v>-29640</v>
      </c>
      <c r="F87" s="3" t="s">
        <v>75</v>
      </c>
      <c r="G87" s="3" t="s">
        <v>331</v>
      </c>
      <c r="H87" s="2" t="s">
        <v>36</v>
      </c>
      <c r="I87" s="2" t="s">
        <v>332</v>
      </c>
      <c r="J87" s="3" t="str">
        <f>HYPERLINK("https://www.boe.es/gazeta/dias/1818/11/05/pdfs/GMD-1818-134.pdf#page=8","Abrir facsímil")</f>
        <v>Abrir facsímil</v>
      </c>
      <c r="K87" s="3" t="s">
        <v>38</v>
      </c>
    </row>
    <row r="88" spans="1:11" ht="42" customHeight="1">
      <c r="A88" s="2" t="s">
        <v>333</v>
      </c>
      <c r="B88" s="2" t="s">
        <v>334</v>
      </c>
      <c r="C88" s="2" t="s">
        <v>26</v>
      </c>
      <c r="D88" s="2" t="s">
        <v>27</v>
      </c>
      <c r="E88" s="5">
        <v>-29677</v>
      </c>
      <c r="F88" s="3" t="s">
        <v>157</v>
      </c>
      <c r="G88" s="3" t="s">
        <v>20</v>
      </c>
      <c r="H88" s="2" t="s">
        <v>36</v>
      </c>
      <c r="I88" s="2" t="s">
        <v>335</v>
      </c>
      <c r="J88" s="3" t="str">
        <f>HYPERLINK("https://www.boe.es/gazeta/dias/1818/09/29/pdfs/GMD-1818-117.pdf#page=7","Abrir facsímil")</f>
        <v>Abrir facsímil</v>
      </c>
      <c r="K88" s="3" t="s">
        <v>38</v>
      </c>
    </row>
    <row r="89" spans="1:11" ht="42" customHeight="1">
      <c r="A89" s="2" t="s">
        <v>336</v>
      </c>
      <c r="B89" s="2" t="s">
        <v>337</v>
      </c>
      <c r="C89" s="2" t="s">
        <v>68</v>
      </c>
      <c r="D89" s="2" t="s">
        <v>69</v>
      </c>
      <c r="E89" s="5">
        <v>-29876</v>
      </c>
      <c r="F89" s="3" t="s">
        <v>338</v>
      </c>
      <c r="G89" s="3" t="s">
        <v>339</v>
      </c>
      <c r="H89" s="2" t="s">
        <v>21</v>
      </c>
      <c r="I89" s="2" t="s">
        <v>340</v>
      </c>
      <c r="J89" s="3" t="str">
        <f>HYPERLINK("https://www.boe.es/gazeta/dias/1818/03/14/pdfs/GMD-1818-32.pdf#page=8","Abrir facsímil")</f>
        <v>Abrir facsímil</v>
      </c>
      <c r="K89" s="3" t="s">
        <v>23</v>
      </c>
    </row>
    <row r="90" spans="1:11" ht="42" customHeight="1">
      <c r="A90" s="2" t="s">
        <v>341</v>
      </c>
      <c r="B90" s="2" t="s">
        <v>342</v>
      </c>
      <c r="C90" s="2" t="s">
        <v>26</v>
      </c>
      <c r="D90" s="2" t="s">
        <v>27</v>
      </c>
      <c r="E90" s="5">
        <v>-29787</v>
      </c>
      <c r="F90" s="3" t="s">
        <v>343</v>
      </c>
      <c r="G90" s="3" t="s">
        <v>29</v>
      </c>
      <c r="H90" s="2" t="s">
        <v>36</v>
      </c>
      <c r="I90" s="2" t="s">
        <v>344</v>
      </c>
      <c r="J90" s="3" t="str">
        <f>HYPERLINK("https://www.boe.es/gazeta/dias/1818/06/11/pdfs/GMD-1818-70.pdf#page=4","Abrir facsímil")</f>
        <v>Abrir facsímil</v>
      </c>
      <c r="K90" s="3" t="s">
        <v>38</v>
      </c>
    </row>
    <row r="91" spans="1:11" ht="42" customHeight="1">
      <c r="A91" s="2" t="s">
        <v>345</v>
      </c>
      <c r="B91" s="2" t="s">
        <v>346</v>
      </c>
      <c r="C91" s="2" t="s">
        <v>68</v>
      </c>
      <c r="D91" s="2" t="s">
        <v>69</v>
      </c>
      <c r="E91" s="5">
        <v>-29715</v>
      </c>
      <c r="F91" s="3" t="s">
        <v>208</v>
      </c>
      <c r="G91" s="3" t="s">
        <v>45</v>
      </c>
      <c r="H91" s="2" t="s">
        <v>36</v>
      </c>
      <c r="I91" s="2" t="s">
        <v>347</v>
      </c>
      <c r="J91" s="3" t="str">
        <f>HYPERLINK("https://www.boe.es/gazeta/dias/1818/08/22/pdfs/GMD-1818-101.pdf#page=8","Abrir facsímil")</f>
        <v>Abrir facsímil</v>
      </c>
      <c r="K91" s="3" t="s">
        <v>38</v>
      </c>
    </row>
    <row r="92" spans="1:11" ht="42" customHeight="1">
      <c r="A92" s="2" t="s">
        <v>345</v>
      </c>
      <c r="B92" s="2" t="s">
        <v>346</v>
      </c>
      <c r="C92" s="2" t="s">
        <v>68</v>
      </c>
      <c r="D92" s="2" t="s">
        <v>69</v>
      </c>
      <c r="E92" s="5">
        <v>-29661</v>
      </c>
      <c r="F92" s="3" t="s">
        <v>348</v>
      </c>
      <c r="G92" s="3" t="s">
        <v>349</v>
      </c>
      <c r="H92" s="2" t="s">
        <v>36</v>
      </c>
      <c r="I92" s="2" t="s">
        <v>350</v>
      </c>
      <c r="J92" s="3" t="str">
        <f>HYPERLINK("https://www.boe.es/gazeta/dias/1818/10/15/pdfs/GMD-1818-124.pdf#page=8","Abrir facsímil")</f>
        <v>Abrir facsímil</v>
      </c>
      <c r="K92" s="3" t="s">
        <v>38</v>
      </c>
    </row>
    <row r="93" spans="1:11" ht="42" customHeight="1">
      <c r="A93" s="2" t="s">
        <v>351</v>
      </c>
      <c r="B93" s="2" t="s">
        <v>352</v>
      </c>
      <c r="C93" s="2" t="s">
        <v>17</v>
      </c>
      <c r="D93" s="2" t="s">
        <v>18</v>
      </c>
      <c r="E93" s="5">
        <v>-29878</v>
      </c>
      <c r="F93" s="3" t="s">
        <v>353</v>
      </c>
      <c r="G93" s="3" t="s">
        <v>59</v>
      </c>
      <c r="H93" s="2" t="s">
        <v>36</v>
      </c>
      <c r="I93" s="2" t="s">
        <v>354</v>
      </c>
      <c r="J93" s="3" t="str">
        <f>HYPERLINK("https://www.boe.es/gazeta/dias/1818/03/12/pdfs/GMD-1818-31.pdf#page=6","Abrir facsímil")</f>
        <v>Abrir facsímil</v>
      </c>
      <c r="K93" s="3" t="s">
        <v>38</v>
      </c>
    </row>
    <row r="94" spans="1:11" ht="42" customHeight="1">
      <c r="A94" s="2" t="s">
        <v>355</v>
      </c>
      <c r="B94" s="2" t="s">
        <v>356</v>
      </c>
      <c r="C94" s="2" t="s">
        <v>68</v>
      </c>
      <c r="D94" s="2" t="s">
        <v>69</v>
      </c>
      <c r="E94" s="5">
        <v>-29752</v>
      </c>
      <c r="F94" s="3" t="s">
        <v>165</v>
      </c>
      <c r="G94" s="3" t="s">
        <v>59</v>
      </c>
      <c r="H94" s="2" t="s">
        <v>36</v>
      </c>
      <c r="I94" s="2" t="s">
        <v>357</v>
      </c>
      <c r="J94" s="3" t="str">
        <f>HYPERLINK("https://www.boe.es/gazeta/dias/1818/07/16/pdfs/GMD-1818-85.pdf#page=6","Abrir facsímil")</f>
        <v>Abrir facsímil</v>
      </c>
      <c r="K94" s="3" t="s">
        <v>38</v>
      </c>
    </row>
    <row r="95" spans="1:11" ht="42" customHeight="1">
      <c r="A95" s="2" t="s">
        <v>358</v>
      </c>
      <c r="B95" s="2" t="s">
        <v>358</v>
      </c>
      <c r="C95" s="2" t="s">
        <v>26</v>
      </c>
      <c r="D95" s="2" t="s">
        <v>27</v>
      </c>
      <c r="E95" s="5">
        <v>-29880</v>
      </c>
      <c r="F95" s="3" t="s">
        <v>359</v>
      </c>
      <c r="G95" s="3" t="s">
        <v>106</v>
      </c>
      <c r="H95" s="2" t="s">
        <v>36</v>
      </c>
      <c r="I95" s="2" t="s">
        <v>360</v>
      </c>
      <c r="J95" s="3" t="str">
        <f>HYPERLINK("https://www.boe.es/gazeta/dias/1818/03/10/pdfs/GMD-1818-30.pdf#page=5","Abrir facsímil")</f>
        <v>Abrir facsímil</v>
      </c>
      <c r="K95" s="3" t="s">
        <v>38</v>
      </c>
    </row>
    <row r="96" spans="1:11" ht="42" customHeight="1">
      <c r="A96" s="2" t="s">
        <v>361</v>
      </c>
      <c r="B96" s="2" t="s">
        <v>362</v>
      </c>
      <c r="C96" s="2" t="s">
        <v>26</v>
      </c>
      <c r="D96" s="2" t="s">
        <v>27</v>
      </c>
      <c r="E96" s="5">
        <v>-29920</v>
      </c>
      <c r="F96" s="3" t="s">
        <v>201</v>
      </c>
      <c r="G96" s="3" t="s">
        <v>111</v>
      </c>
      <c r="H96" s="2" t="s">
        <v>36</v>
      </c>
      <c r="I96" s="2" t="s">
        <v>363</v>
      </c>
      <c r="J96" s="3" t="str">
        <f>HYPERLINK("https://www.boe.es/gazeta/dias/1818/01/29/pdfs/GMD-1818-13.pdf#page=11","Abrir facsímil")</f>
        <v>Abrir facsímil</v>
      </c>
      <c r="K96" s="3" t="s">
        <v>38</v>
      </c>
    </row>
    <row r="97" spans="1:11" ht="42" customHeight="1">
      <c r="A97" s="2" t="s">
        <v>361</v>
      </c>
      <c r="B97" s="2" t="s">
        <v>362</v>
      </c>
      <c r="C97" s="2" t="s">
        <v>26</v>
      </c>
      <c r="D97" s="2" t="s">
        <v>27</v>
      </c>
      <c r="E97" s="5">
        <v>-29920</v>
      </c>
      <c r="F97" s="3" t="s">
        <v>201</v>
      </c>
      <c r="G97" s="3" t="s">
        <v>85</v>
      </c>
      <c r="H97" s="2" t="s">
        <v>36</v>
      </c>
      <c r="I97" s="2" t="s">
        <v>364</v>
      </c>
      <c r="J97" s="3" t="str">
        <f>HYPERLINK("https://www.boe.es/gazeta/dias/1818/01/29/pdfs/GMD-1818-13.pdf#page=3","Abrir facsímil")</f>
        <v>Abrir facsímil</v>
      </c>
      <c r="K97" s="3" t="s">
        <v>38</v>
      </c>
    </row>
    <row r="98" spans="1:11" ht="42" customHeight="1">
      <c r="A98" s="2" t="s">
        <v>361</v>
      </c>
      <c r="B98" s="2" t="s">
        <v>362</v>
      </c>
      <c r="C98" s="2" t="s">
        <v>26</v>
      </c>
      <c r="D98" s="2" t="s">
        <v>27</v>
      </c>
      <c r="E98" s="5">
        <v>-29920</v>
      </c>
      <c r="F98" s="3" t="s">
        <v>201</v>
      </c>
      <c r="G98" s="3" t="s">
        <v>106</v>
      </c>
      <c r="H98" s="2" t="s">
        <v>36</v>
      </c>
      <c r="I98" s="2" t="s">
        <v>365</v>
      </c>
      <c r="J98" s="3" t="str">
        <f>HYPERLINK("https://www.boe.es/gazeta/dias/1818/01/29/pdfs/GMD-1818-13.pdf#page=5","Abrir facsímil")</f>
        <v>Abrir facsímil</v>
      </c>
      <c r="K98" s="3" t="s">
        <v>38</v>
      </c>
    </row>
    <row r="99" spans="1:11" ht="42" customHeight="1">
      <c r="A99" s="2" t="s">
        <v>361</v>
      </c>
      <c r="B99" s="2" t="s">
        <v>362</v>
      </c>
      <c r="C99" s="2" t="s">
        <v>26</v>
      </c>
      <c r="D99" s="2" t="s">
        <v>27</v>
      </c>
      <c r="E99" s="5">
        <v>-29918</v>
      </c>
      <c r="F99" s="3" t="s">
        <v>89</v>
      </c>
      <c r="G99" s="3" t="s">
        <v>366</v>
      </c>
      <c r="H99" s="2" t="s">
        <v>36</v>
      </c>
      <c r="I99" s="2" t="s">
        <v>367</v>
      </c>
      <c r="J99" s="3" t="str">
        <f>HYPERLINK("https://www.boe.es/gazeta/dias/1818/01/31/pdfs/GMD-1818-14.pdf#page=5","Abrir facsímil")</f>
        <v>Abrir facsímil</v>
      </c>
      <c r="K99" s="3" t="s">
        <v>38</v>
      </c>
    </row>
    <row r="100" spans="1:11" ht="42" customHeight="1">
      <c r="A100" s="2" t="s">
        <v>368</v>
      </c>
      <c r="B100" s="2" t="s">
        <v>369</v>
      </c>
      <c r="C100" s="2" t="s">
        <v>26</v>
      </c>
      <c r="D100" s="2" t="s">
        <v>27</v>
      </c>
      <c r="E100" s="5">
        <v>-29724</v>
      </c>
      <c r="F100" s="3" t="s">
        <v>370</v>
      </c>
      <c r="G100" s="3" t="s">
        <v>29</v>
      </c>
      <c r="H100" s="2" t="s">
        <v>36</v>
      </c>
      <c r="I100" s="2" t="s">
        <v>371</v>
      </c>
      <c r="J100" s="3" t="str">
        <f>HYPERLINK("https://www.boe.es/gazeta/dias/1818/08/13/pdfs/GMD-1818-97.pdf#page=4","Abrir facsímil")</f>
        <v>Abrir facsímil</v>
      </c>
      <c r="K100" s="3" t="s">
        <v>38</v>
      </c>
    </row>
    <row r="101" spans="1:11" ht="42" customHeight="1">
      <c r="A101" s="2" t="s">
        <v>372</v>
      </c>
      <c r="B101" s="2" t="s">
        <v>372</v>
      </c>
      <c r="C101" s="2" t="s">
        <v>26</v>
      </c>
      <c r="D101" s="2" t="s">
        <v>27</v>
      </c>
      <c r="E101" s="5">
        <v>-29822</v>
      </c>
      <c r="F101" s="3" t="s">
        <v>373</v>
      </c>
      <c r="G101" s="3" t="s">
        <v>85</v>
      </c>
      <c r="H101" s="2" t="s">
        <v>36</v>
      </c>
      <c r="I101" s="2" t="s">
        <v>374</v>
      </c>
      <c r="J101" s="3" t="str">
        <f>HYPERLINK("https://www.boe.es/gazeta/dias/1818/05/07/pdfs/GMD-1818-55.pdf#page=3","Abrir facsímil")</f>
        <v>Abrir facsímil</v>
      </c>
      <c r="K101" s="3" t="s">
        <v>38</v>
      </c>
    </row>
    <row r="102" spans="1:11" ht="42" customHeight="1">
      <c r="A102" s="2" t="s">
        <v>375</v>
      </c>
      <c r="B102" s="2" t="s">
        <v>376</v>
      </c>
      <c r="C102" s="2" t="s">
        <v>57</v>
      </c>
      <c r="D102" s="2" t="s">
        <v>18</v>
      </c>
      <c r="E102" s="5">
        <v>-29640</v>
      </c>
      <c r="F102" s="3" t="s">
        <v>75</v>
      </c>
      <c r="G102" s="3" t="s">
        <v>331</v>
      </c>
      <c r="H102" s="2" t="s">
        <v>36</v>
      </c>
      <c r="I102" s="2" t="s">
        <v>377</v>
      </c>
      <c r="J102" s="3" t="str">
        <f>HYPERLINK("https://www.boe.es/gazeta/dias/1818/11/05/pdfs/GMD-1818-134.pdf#page=8","Abrir facsímil")</f>
        <v>Abrir facsímil</v>
      </c>
      <c r="K102" s="3" t="s">
        <v>38</v>
      </c>
    </row>
    <row r="103" spans="1:11" ht="42" customHeight="1">
      <c r="A103" s="2" t="s">
        <v>378</v>
      </c>
      <c r="B103" s="2" t="s">
        <v>379</v>
      </c>
      <c r="C103" s="2" t="s">
        <v>26</v>
      </c>
      <c r="D103" s="2" t="s">
        <v>27</v>
      </c>
      <c r="E103" s="5">
        <v>-29897</v>
      </c>
      <c r="F103" s="3" t="s">
        <v>318</v>
      </c>
      <c r="G103" s="3" t="s">
        <v>59</v>
      </c>
      <c r="H103" s="2" t="s">
        <v>36</v>
      </c>
      <c r="I103" s="2" t="s">
        <v>380</v>
      </c>
      <c r="J103" s="3" t="str">
        <f>HYPERLINK("https://www.boe.es/gazeta/dias/1818/02/21/pdfs/GMD-1818-23.pdf#page=6","Abrir facsímil")</f>
        <v>Abrir facsímil</v>
      </c>
      <c r="K103" s="3" t="s">
        <v>38</v>
      </c>
    </row>
    <row r="104" spans="1:11" ht="42" customHeight="1">
      <c r="A104" s="2" t="s">
        <v>378</v>
      </c>
      <c r="B104" s="2" t="s">
        <v>379</v>
      </c>
      <c r="C104" s="2" t="s">
        <v>57</v>
      </c>
      <c r="D104" s="2" t="s">
        <v>18</v>
      </c>
      <c r="E104" s="5">
        <v>-29897</v>
      </c>
      <c r="F104" s="3" t="s">
        <v>318</v>
      </c>
      <c r="G104" s="3" t="s">
        <v>20</v>
      </c>
      <c r="H104" s="2" t="s">
        <v>36</v>
      </c>
      <c r="I104" s="2" t="s">
        <v>381</v>
      </c>
      <c r="J104" s="3" t="str">
        <f>HYPERLINK("https://www.boe.es/gazeta/dias/1818/02/21/pdfs/GMD-1818-23.pdf#page=7","Abrir facsímil")</f>
        <v>Abrir facsímil</v>
      </c>
      <c r="K104" s="3" t="s">
        <v>38</v>
      </c>
    </row>
    <row r="105" spans="1:11" ht="42" customHeight="1">
      <c r="A105" s="2" t="s">
        <v>382</v>
      </c>
      <c r="B105" s="2" t="s">
        <v>382</v>
      </c>
      <c r="C105" s="2" t="s">
        <v>68</v>
      </c>
      <c r="D105" s="2" t="s">
        <v>69</v>
      </c>
      <c r="E105" s="5">
        <v>-29761</v>
      </c>
      <c r="F105" s="3" t="s">
        <v>168</v>
      </c>
      <c r="G105" s="3" t="s">
        <v>49</v>
      </c>
      <c r="H105" s="2" t="s">
        <v>36</v>
      </c>
      <c r="I105" s="2" t="s">
        <v>383</v>
      </c>
      <c r="J105" s="3" t="str">
        <f>HYPERLINK("https://www.boe.es/gazeta/dias/1818/07/07/pdfs/GMD-1818-81.pdf#page=1","Abrir facsímil")</f>
        <v>Abrir facsímil</v>
      </c>
      <c r="K105" s="3" t="s">
        <v>38</v>
      </c>
    </row>
    <row r="106" spans="1:11" ht="42" customHeight="1">
      <c r="A106" s="2" t="s">
        <v>382</v>
      </c>
      <c r="B106" s="2" t="s">
        <v>382</v>
      </c>
      <c r="C106" s="2" t="s">
        <v>26</v>
      </c>
      <c r="D106" s="2" t="s">
        <v>27</v>
      </c>
      <c r="E106" s="5">
        <v>-29750</v>
      </c>
      <c r="F106" s="3" t="s">
        <v>384</v>
      </c>
      <c r="G106" s="3" t="s">
        <v>49</v>
      </c>
      <c r="H106" s="2" t="s">
        <v>36</v>
      </c>
      <c r="I106" s="2" t="s">
        <v>385</v>
      </c>
      <c r="J106" s="3" t="str">
        <f>HYPERLINK("https://www.boe.es/gazeta/dias/1818/07/18/pdfs/GMD-1818-86.pdf#page=1","Abrir facsímil")</f>
        <v>Abrir facsímil</v>
      </c>
      <c r="K106" s="3" t="s">
        <v>38</v>
      </c>
    </row>
    <row r="107" spans="1:11" ht="42" customHeight="1">
      <c r="A107" s="2" t="s">
        <v>386</v>
      </c>
      <c r="B107" s="2" t="s">
        <v>387</v>
      </c>
      <c r="C107" s="2" t="s">
        <v>17</v>
      </c>
      <c r="D107" s="2" t="s">
        <v>18</v>
      </c>
      <c r="E107" s="5">
        <v>-29806</v>
      </c>
      <c r="F107" s="3" t="s">
        <v>84</v>
      </c>
      <c r="G107" s="3" t="s">
        <v>85</v>
      </c>
      <c r="H107" s="2" t="s">
        <v>36</v>
      </c>
      <c r="I107" s="2" t="s">
        <v>388</v>
      </c>
      <c r="J107" s="3" t="str">
        <f>HYPERLINK("https://www.boe.es/gazeta/dias/1818/05/23/pdfs/GMD-1818-62.pdf#page=3","Abrir facsímil")</f>
        <v>Abrir facsímil</v>
      </c>
      <c r="K107" s="3" t="s">
        <v>38</v>
      </c>
    </row>
    <row r="108" spans="1:11" ht="42" customHeight="1">
      <c r="A108" s="2" t="s">
        <v>389</v>
      </c>
      <c r="B108" s="2" t="s">
        <v>390</v>
      </c>
      <c r="C108" s="2" t="s">
        <v>57</v>
      </c>
      <c r="D108" s="2" t="s">
        <v>18</v>
      </c>
      <c r="E108" s="5">
        <v>-29589</v>
      </c>
      <c r="F108" s="3" t="s">
        <v>210</v>
      </c>
      <c r="G108" s="3" t="s">
        <v>211</v>
      </c>
      <c r="H108" s="2" t="s">
        <v>36</v>
      </c>
      <c r="I108" s="2" t="s">
        <v>391</v>
      </c>
      <c r="J108" s="3" t="str">
        <f>HYPERLINK("https://www.boe.es/gazeta/dias/1818/12/26/pdfs/GMD-1818-156.pdf#page=8","Abrir facsímil")</f>
        <v>Abrir facsímil</v>
      </c>
      <c r="K108" s="3" t="s">
        <v>38</v>
      </c>
    </row>
    <row r="109" spans="1:11" ht="42" customHeight="1">
      <c r="A109" s="2" t="s">
        <v>392</v>
      </c>
      <c r="B109" s="2" t="s">
        <v>392</v>
      </c>
      <c r="C109" s="2" t="s">
        <v>63</v>
      </c>
      <c r="D109" s="2" t="s">
        <v>18</v>
      </c>
      <c r="E109" s="5">
        <v>-29890</v>
      </c>
      <c r="F109" s="3" t="s">
        <v>393</v>
      </c>
      <c r="G109" s="3" t="s">
        <v>394</v>
      </c>
      <c r="H109" s="2" t="s">
        <v>36</v>
      </c>
      <c r="I109" s="2" t="s">
        <v>395</v>
      </c>
      <c r="J109" s="3" t="str">
        <f>HYPERLINK("https://www.boe.es/gazeta/dias/1818/02/28/pdfs/GMD-1818-26.pdf#page=8","Abrir facsímil")</f>
        <v>Abrir facsímil</v>
      </c>
      <c r="K109" s="3" t="s">
        <v>38</v>
      </c>
    </row>
    <row r="110" spans="1:11" ht="42" customHeight="1">
      <c r="A110" s="2" t="s">
        <v>396</v>
      </c>
      <c r="B110" s="2" t="s">
        <v>397</v>
      </c>
      <c r="C110" s="2" t="s">
        <v>68</v>
      </c>
      <c r="D110" s="2" t="s">
        <v>69</v>
      </c>
      <c r="E110" s="5">
        <v>-29936</v>
      </c>
      <c r="F110" s="3" t="s">
        <v>398</v>
      </c>
      <c r="G110" s="3" t="s">
        <v>20</v>
      </c>
      <c r="H110" s="2" t="s">
        <v>36</v>
      </c>
      <c r="I110" s="2" t="s">
        <v>399</v>
      </c>
      <c r="J110" s="3" t="str">
        <f>HYPERLINK("https://www.boe.es/gazeta/dias/1818/01/13/pdfs/GMD-1818-6.pdf#page=7","Abrir facsímil")</f>
        <v>Abrir facsímil</v>
      </c>
      <c r="K110" s="3" t="s">
        <v>38</v>
      </c>
    </row>
    <row r="111" spans="1:11" ht="42" customHeight="1">
      <c r="A111" s="2" t="s">
        <v>400</v>
      </c>
      <c r="B111" s="2" t="s">
        <v>401</v>
      </c>
      <c r="C111" s="2" t="s">
        <v>26</v>
      </c>
      <c r="D111" s="2" t="s">
        <v>27</v>
      </c>
      <c r="E111" s="5">
        <v>-29920</v>
      </c>
      <c r="F111" s="3" t="s">
        <v>201</v>
      </c>
      <c r="G111" s="3" t="s">
        <v>20</v>
      </c>
      <c r="H111" s="2" t="s">
        <v>36</v>
      </c>
      <c r="I111" s="2" t="s">
        <v>402</v>
      </c>
      <c r="J111" s="3" t="str">
        <f>HYPERLINK("https://www.boe.es/gazeta/dias/1818/01/29/pdfs/GMD-1818-13.pdf#page=7","Abrir facsímil")</f>
        <v>Abrir facsímil</v>
      </c>
      <c r="K111" s="3" t="s">
        <v>38</v>
      </c>
    </row>
    <row r="112" spans="1:11" ht="42" customHeight="1">
      <c r="A112" s="2" t="s">
        <v>403</v>
      </c>
      <c r="B112" s="2" t="s">
        <v>404</v>
      </c>
      <c r="C112" s="2" t="s">
        <v>68</v>
      </c>
      <c r="D112" s="2" t="s">
        <v>69</v>
      </c>
      <c r="E112" s="5">
        <v>-29759</v>
      </c>
      <c r="F112" s="3" t="s">
        <v>405</v>
      </c>
      <c r="G112" s="3" t="s">
        <v>45</v>
      </c>
      <c r="H112" s="2" t="s">
        <v>36</v>
      </c>
      <c r="I112" s="2" t="s">
        <v>406</v>
      </c>
      <c r="J112" s="3" t="str">
        <f>HYPERLINK("https://www.boe.es/gazeta/dias/1818/07/09/pdfs/GMD-1818-82.pdf#page=8","Abrir facsímil")</f>
        <v>Abrir facsímil</v>
      </c>
      <c r="K112" s="3" t="s">
        <v>38</v>
      </c>
    </row>
    <row r="113" spans="1:11" ht="42" customHeight="1">
      <c r="A113" s="2" t="s">
        <v>407</v>
      </c>
      <c r="B113" s="2" t="s">
        <v>408</v>
      </c>
      <c r="C113" s="2" t="s">
        <v>68</v>
      </c>
      <c r="D113" s="2" t="s">
        <v>69</v>
      </c>
      <c r="E113" s="5">
        <v>-29745</v>
      </c>
      <c r="F113" s="3" t="s">
        <v>409</v>
      </c>
      <c r="G113" s="3" t="s">
        <v>20</v>
      </c>
      <c r="H113" s="2" t="s">
        <v>36</v>
      </c>
      <c r="I113" s="2" t="s">
        <v>410</v>
      </c>
      <c r="J113" s="3" t="str">
        <f>HYPERLINK("https://www.boe.es/gazeta/dias/1818/07/23/pdfs/GMD-1818-88.pdf#page=7","Abrir facsímil")</f>
        <v>Abrir facsímil</v>
      </c>
      <c r="K113" s="3" t="s">
        <v>38</v>
      </c>
    </row>
    <row r="114" spans="1:11" ht="42" customHeight="1">
      <c r="A114" s="2" t="s">
        <v>411</v>
      </c>
      <c r="B114" s="2" t="s">
        <v>412</v>
      </c>
      <c r="C114" s="2" t="s">
        <v>26</v>
      </c>
      <c r="D114" s="2" t="s">
        <v>27</v>
      </c>
      <c r="E114" s="5">
        <v>-29708</v>
      </c>
      <c r="F114" s="3" t="s">
        <v>413</v>
      </c>
      <c r="G114" s="3" t="s">
        <v>29</v>
      </c>
      <c r="H114" s="2" t="s">
        <v>36</v>
      </c>
      <c r="I114" s="2" t="s">
        <v>414</v>
      </c>
      <c r="J114" s="3" t="str">
        <f>HYPERLINK("https://www.boe.es/gazeta/dias/1818/08/29/pdfs/GMD-1818-104.pdf#page=4","Abrir facsímil")</f>
        <v>Abrir facsímil</v>
      </c>
      <c r="K114" s="3" t="s">
        <v>38</v>
      </c>
    </row>
    <row r="115" spans="1:11" ht="42" customHeight="1">
      <c r="A115" s="2" t="s">
        <v>415</v>
      </c>
      <c r="B115" s="2" t="s">
        <v>416</v>
      </c>
      <c r="C115" s="2" t="s">
        <v>26</v>
      </c>
      <c r="D115" s="2" t="s">
        <v>27</v>
      </c>
      <c r="E115" s="5">
        <v>-29901</v>
      </c>
      <c r="F115" s="3" t="s">
        <v>417</v>
      </c>
      <c r="G115" s="3" t="s">
        <v>418</v>
      </c>
      <c r="H115" s="2" t="s">
        <v>36</v>
      </c>
      <c r="I115" s="2" t="s">
        <v>419</v>
      </c>
      <c r="J115" s="3" t="str">
        <f>HYPERLINK("https://www.boe.es/gazeta/dias/1818/02/17/pdfs/GMD-1818-21.pdf#page=9","Abrir facsímil")</f>
        <v>Abrir facsímil</v>
      </c>
      <c r="K115" s="3" t="s">
        <v>38</v>
      </c>
    </row>
    <row r="116" spans="1:11" ht="42" customHeight="1">
      <c r="A116" s="2" t="s">
        <v>420</v>
      </c>
      <c r="B116" s="2" t="s">
        <v>420</v>
      </c>
      <c r="C116" s="2" t="s">
        <v>97</v>
      </c>
      <c r="D116" s="2" t="s">
        <v>18</v>
      </c>
      <c r="E116" s="5">
        <v>-29817</v>
      </c>
      <c r="F116" s="3" t="s">
        <v>284</v>
      </c>
      <c r="G116" s="3" t="s">
        <v>45</v>
      </c>
      <c r="H116" s="2" t="s">
        <v>36</v>
      </c>
      <c r="I116" s="2" t="s">
        <v>421</v>
      </c>
      <c r="J116" s="3" t="str">
        <f>HYPERLINK("https://www.boe.es/gazeta/dias/1818/05/12/pdfs/GMD-1818-57.pdf#page=8","Abrir facsímil")</f>
        <v>Abrir facsímil</v>
      </c>
      <c r="K116" s="3" t="s">
        <v>38</v>
      </c>
    </row>
    <row r="117" spans="1:11" ht="42" customHeight="1">
      <c r="A117" s="2" t="s">
        <v>422</v>
      </c>
      <c r="B117" s="2" t="s">
        <v>423</v>
      </c>
      <c r="C117" s="2" t="s">
        <v>57</v>
      </c>
      <c r="D117" s="2" t="s">
        <v>18</v>
      </c>
      <c r="E117" s="5">
        <v>-29773</v>
      </c>
      <c r="F117" s="3" t="s">
        <v>424</v>
      </c>
      <c r="G117" s="3" t="s">
        <v>45</v>
      </c>
      <c r="H117" s="2" t="s">
        <v>36</v>
      </c>
      <c r="I117" s="2" t="s">
        <v>425</v>
      </c>
      <c r="J117" s="3" t="str">
        <f>HYPERLINK("https://www.boe.es/gazeta/dias/1818/06/25/pdfs/GMD-1818-76.pdf#page=8","Abrir facsímil")</f>
        <v>Abrir facsímil</v>
      </c>
      <c r="K117" s="3" t="s">
        <v>38</v>
      </c>
    </row>
    <row r="118" spans="1:11" ht="42" customHeight="1">
      <c r="A118" s="2" t="s">
        <v>426</v>
      </c>
      <c r="B118" s="2" t="s">
        <v>427</v>
      </c>
      <c r="C118" s="2" t="s">
        <v>68</v>
      </c>
      <c r="D118" s="2" t="s">
        <v>69</v>
      </c>
      <c r="E118" s="5">
        <v>-29929</v>
      </c>
      <c r="F118" s="3" t="s">
        <v>204</v>
      </c>
      <c r="G118" s="3" t="s">
        <v>45</v>
      </c>
      <c r="H118" s="2" t="s">
        <v>36</v>
      </c>
      <c r="I118" s="2" t="s">
        <v>428</v>
      </c>
      <c r="J118" s="3" t="str">
        <f>HYPERLINK("https://www.boe.es/gazeta/dias/1818/01/20/pdfs/GMD-1818-9.pdf#page=8","Abrir facsímil")</f>
        <v>Abrir facsímil</v>
      </c>
      <c r="K118" s="3" t="s">
        <v>38</v>
      </c>
    </row>
    <row r="119" spans="1:11" ht="42" customHeight="1">
      <c r="A119" s="2" t="s">
        <v>426</v>
      </c>
      <c r="B119" s="2" t="s">
        <v>427</v>
      </c>
      <c r="C119" s="2" t="s">
        <v>68</v>
      </c>
      <c r="D119" s="2" t="s">
        <v>69</v>
      </c>
      <c r="E119" s="5">
        <v>-29915</v>
      </c>
      <c r="F119" s="3" t="s">
        <v>429</v>
      </c>
      <c r="G119" s="3" t="s">
        <v>45</v>
      </c>
      <c r="H119" s="2" t="s">
        <v>36</v>
      </c>
      <c r="I119" s="2" t="s">
        <v>430</v>
      </c>
      <c r="J119" s="3" t="str">
        <f>HYPERLINK("https://www.boe.es/gazeta/dias/1818/02/03/pdfs/GMD-1818-15.pdf#page=8","Abrir facsímil")</f>
        <v>Abrir facsímil</v>
      </c>
      <c r="K119" s="3" t="s">
        <v>38</v>
      </c>
    </row>
    <row r="120" spans="1:11" ht="42" customHeight="1">
      <c r="A120" s="2" t="s">
        <v>426</v>
      </c>
      <c r="B120" s="2" t="s">
        <v>427</v>
      </c>
      <c r="C120" s="2" t="s">
        <v>68</v>
      </c>
      <c r="D120" s="2" t="s">
        <v>69</v>
      </c>
      <c r="E120" s="5">
        <v>-29906</v>
      </c>
      <c r="F120" s="3" t="s">
        <v>28</v>
      </c>
      <c r="G120" s="3" t="s">
        <v>45</v>
      </c>
      <c r="H120" s="2" t="s">
        <v>36</v>
      </c>
      <c r="I120" s="2" t="s">
        <v>431</v>
      </c>
      <c r="J120" s="3" t="str">
        <f>HYPERLINK("https://www.boe.es/gazeta/dias/1818/02/12/pdfs/GMD-1818-19.pdf#page=8","Abrir facsímil")</f>
        <v>Abrir facsímil</v>
      </c>
      <c r="K120" s="3" t="s">
        <v>38</v>
      </c>
    </row>
    <row r="121" spans="1:11" ht="42" customHeight="1">
      <c r="A121" s="2" t="s">
        <v>426</v>
      </c>
      <c r="B121" s="2" t="s">
        <v>427</v>
      </c>
      <c r="C121" s="2" t="s">
        <v>68</v>
      </c>
      <c r="D121" s="2" t="s">
        <v>69</v>
      </c>
      <c r="E121" s="5">
        <v>-29899</v>
      </c>
      <c r="F121" s="3" t="s">
        <v>232</v>
      </c>
      <c r="G121" s="3" t="s">
        <v>20</v>
      </c>
      <c r="H121" s="2" t="s">
        <v>36</v>
      </c>
      <c r="I121" s="2" t="s">
        <v>432</v>
      </c>
      <c r="J121" s="3" t="str">
        <f>HYPERLINK("https://www.boe.es/gazeta/dias/1818/02/19/pdfs/GMD-1818-22.pdf#page=7","Abrir facsímil")</f>
        <v>Abrir facsímil</v>
      </c>
      <c r="K121" s="3" t="s">
        <v>38</v>
      </c>
    </row>
    <row r="122" spans="1:11" ht="42" customHeight="1">
      <c r="A122" s="2" t="s">
        <v>433</v>
      </c>
      <c r="B122" s="2" t="s">
        <v>434</v>
      </c>
      <c r="C122" s="2" t="s">
        <v>68</v>
      </c>
      <c r="D122" s="2" t="s">
        <v>69</v>
      </c>
      <c r="E122" s="5">
        <v>-29869</v>
      </c>
      <c r="F122" s="3" t="s">
        <v>140</v>
      </c>
      <c r="G122" s="3" t="s">
        <v>20</v>
      </c>
      <c r="H122" s="2" t="s">
        <v>36</v>
      </c>
      <c r="I122" s="2" t="s">
        <v>435</v>
      </c>
      <c r="J122" s="3" t="str">
        <f>HYPERLINK("https://www.boe.es/gazeta/dias/1818/03/21/pdfs/GMD-1818-35.pdf#page=7","Abrir facsímil")</f>
        <v>Abrir facsímil</v>
      </c>
      <c r="K122" s="3" t="s">
        <v>38</v>
      </c>
    </row>
    <row r="123" spans="1:11" ht="42" customHeight="1">
      <c r="A123" s="2" t="s">
        <v>426</v>
      </c>
      <c r="B123" s="2" t="s">
        <v>427</v>
      </c>
      <c r="C123" s="2" t="s">
        <v>68</v>
      </c>
      <c r="D123" s="2" t="s">
        <v>69</v>
      </c>
      <c r="E123" s="5">
        <v>-29824</v>
      </c>
      <c r="F123" s="3" t="s">
        <v>101</v>
      </c>
      <c r="G123" s="3" t="s">
        <v>45</v>
      </c>
      <c r="H123" s="2" t="s">
        <v>36</v>
      </c>
      <c r="I123" s="2" t="s">
        <v>436</v>
      </c>
      <c r="J123" s="3" t="str">
        <f>HYPERLINK("https://www.boe.es/gazeta/dias/1818/05/05/pdfs/GMD-1818-54.pdf#page=8","Abrir facsímil")</f>
        <v>Abrir facsímil</v>
      </c>
      <c r="K123" s="3" t="s">
        <v>38</v>
      </c>
    </row>
    <row r="124" spans="1:11" ht="42" customHeight="1">
      <c r="A124" s="2" t="s">
        <v>437</v>
      </c>
      <c r="B124" s="2" t="s">
        <v>438</v>
      </c>
      <c r="C124" s="2" t="s">
        <v>17</v>
      </c>
      <c r="D124" s="2" t="s">
        <v>18</v>
      </c>
      <c r="E124" s="5">
        <v>-29801</v>
      </c>
      <c r="F124" s="3" t="s">
        <v>288</v>
      </c>
      <c r="G124" s="3" t="s">
        <v>45</v>
      </c>
      <c r="H124" s="2" t="s">
        <v>36</v>
      </c>
      <c r="I124" s="2" t="s">
        <v>439</v>
      </c>
      <c r="J124" s="3" t="str">
        <f>HYPERLINK("https://www.boe.es/gazeta/dias/1818/05/28/pdfs/GMD-1818-64.pdf#page=8","Abrir facsímil")</f>
        <v>Abrir facsímil</v>
      </c>
      <c r="K124" s="3" t="s">
        <v>38</v>
      </c>
    </row>
    <row r="125" spans="1:11" ht="42" customHeight="1">
      <c r="A125" s="2" t="s">
        <v>426</v>
      </c>
      <c r="B125" s="2" t="s">
        <v>427</v>
      </c>
      <c r="C125" s="2" t="s">
        <v>33</v>
      </c>
      <c r="D125" s="2" t="s">
        <v>18</v>
      </c>
      <c r="E125" s="5">
        <v>-29768</v>
      </c>
      <c r="F125" s="3" t="s">
        <v>253</v>
      </c>
      <c r="G125" s="3" t="s">
        <v>45</v>
      </c>
      <c r="H125" s="2" t="s">
        <v>36</v>
      </c>
      <c r="I125" s="2" t="s">
        <v>440</v>
      </c>
      <c r="J125" s="3" t="str">
        <f>HYPERLINK("https://www.boe.es/gazeta/dias/1818/06/30/pdfs/GMD-1818-78.pdf#page=8","Abrir facsímil")</f>
        <v>Abrir facsímil</v>
      </c>
      <c r="K125" s="3" t="s">
        <v>38</v>
      </c>
    </row>
    <row r="126" spans="1:11" ht="42" customHeight="1">
      <c r="A126" s="2" t="s">
        <v>441</v>
      </c>
      <c r="B126" s="2" t="s">
        <v>442</v>
      </c>
      <c r="C126" s="2" t="s">
        <v>68</v>
      </c>
      <c r="D126" s="2" t="s">
        <v>69</v>
      </c>
      <c r="E126" s="5">
        <v>-29939</v>
      </c>
      <c r="F126" s="3" t="s">
        <v>110</v>
      </c>
      <c r="G126" s="3" t="s">
        <v>116</v>
      </c>
      <c r="H126" s="2" t="s">
        <v>36</v>
      </c>
      <c r="I126" s="2" t="s">
        <v>443</v>
      </c>
      <c r="J126" s="3" t="str">
        <f>HYPERLINK("https://www.boe.es/gazeta/dias/1818/01/10/pdfs/GMD-1818-5.pdf#page=12","Abrir facsímil")</f>
        <v>Abrir facsímil</v>
      </c>
      <c r="K126" s="3" t="s">
        <v>38</v>
      </c>
    </row>
    <row r="127" spans="1:11" ht="42" customHeight="1">
      <c r="A127" s="2" t="s">
        <v>444</v>
      </c>
      <c r="B127" s="2" t="s">
        <v>445</v>
      </c>
      <c r="C127" s="2" t="s">
        <v>68</v>
      </c>
      <c r="D127" s="2" t="s">
        <v>69</v>
      </c>
      <c r="E127" s="5">
        <v>-29932</v>
      </c>
      <c r="F127" s="3" t="s">
        <v>34</v>
      </c>
      <c r="G127" s="3" t="s">
        <v>35</v>
      </c>
      <c r="H127" s="2" t="s">
        <v>36</v>
      </c>
      <c r="I127" s="2" t="s">
        <v>446</v>
      </c>
      <c r="J127" s="3" t="str">
        <f>HYPERLINK("https://www.boe.es/gazeta/dias/1818/01/17/pdfs/GMD-1818-8.pdf#page=8","Abrir facsímil")</f>
        <v>Abrir facsímil</v>
      </c>
      <c r="K127" s="3" t="s">
        <v>38</v>
      </c>
    </row>
    <row r="128" spans="1:11" ht="42" customHeight="1">
      <c r="A128" s="2" t="s">
        <v>441</v>
      </c>
      <c r="B128" s="2" t="s">
        <v>442</v>
      </c>
      <c r="C128" s="2" t="s">
        <v>63</v>
      </c>
      <c r="D128" s="2" t="s">
        <v>18</v>
      </c>
      <c r="E128" s="5">
        <v>-29925</v>
      </c>
      <c r="F128" s="3" t="s">
        <v>447</v>
      </c>
      <c r="G128" s="3" t="s">
        <v>45</v>
      </c>
      <c r="H128" s="2" t="s">
        <v>36</v>
      </c>
      <c r="I128" s="2" t="s">
        <v>448</v>
      </c>
      <c r="J128" s="3" t="str">
        <f>HYPERLINK("https://www.boe.es/gazeta/dias/1818/01/24/pdfs/GMD-1818-11.pdf#page=8","Abrir facsímil")</f>
        <v>Abrir facsímil</v>
      </c>
      <c r="K128" s="3" t="s">
        <v>38</v>
      </c>
    </row>
    <row r="129" spans="1:11" ht="42" customHeight="1">
      <c r="A129" s="2" t="s">
        <v>441</v>
      </c>
      <c r="B129" s="2" t="s">
        <v>442</v>
      </c>
      <c r="C129" s="2" t="s">
        <v>26</v>
      </c>
      <c r="D129" s="2" t="s">
        <v>27</v>
      </c>
      <c r="E129" s="5">
        <v>-29913</v>
      </c>
      <c r="F129" s="3" t="s">
        <v>449</v>
      </c>
      <c r="G129" s="3" t="s">
        <v>45</v>
      </c>
      <c r="H129" s="2" t="s">
        <v>36</v>
      </c>
      <c r="I129" s="2" t="s">
        <v>450</v>
      </c>
      <c r="J129" s="3" t="str">
        <f>HYPERLINK("https://www.boe.es/gazeta/dias/1818/02/05/pdfs/GMD-1818-16.pdf#page=8","Abrir facsímil")</f>
        <v>Abrir facsímil</v>
      </c>
      <c r="K129" s="3" t="s">
        <v>38</v>
      </c>
    </row>
    <row r="130" spans="1:11" ht="42" customHeight="1">
      <c r="A130" s="2" t="s">
        <v>441</v>
      </c>
      <c r="B130" s="2" t="s">
        <v>442</v>
      </c>
      <c r="C130" s="2" t="s">
        <v>26</v>
      </c>
      <c r="D130" s="2" t="s">
        <v>27</v>
      </c>
      <c r="E130" s="5">
        <v>-29904</v>
      </c>
      <c r="F130" s="3" t="s">
        <v>451</v>
      </c>
      <c r="G130" s="3" t="s">
        <v>20</v>
      </c>
      <c r="H130" s="2" t="s">
        <v>36</v>
      </c>
      <c r="I130" s="2" t="s">
        <v>452</v>
      </c>
      <c r="J130" s="3" t="str">
        <f>HYPERLINK("https://www.boe.es/gazeta/dias/1818/02/14/pdfs/GMD-1818-20.pdf#page=7","Abrir facsímil")</f>
        <v>Abrir facsímil</v>
      </c>
      <c r="K130" s="3" t="s">
        <v>38</v>
      </c>
    </row>
    <row r="131" spans="1:11" ht="42" customHeight="1">
      <c r="A131" s="2" t="s">
        <v>441</v>
      </c>
      <c r="B131" s="2" t="s">
        <v>442</v>
      </c>
      <c r="C131" s="2" t="s">
        <v>68</v>
      </c>
      <c r="D131" s="2" t="s">
        <v>69</v>
      </c>
      <c r="E131" s="5">
        <v>-29892</v>
      </c>
      <c r="F131" s="3" t="s">
        <v>39</v>
      </c>
      <c r="G131" s="3" t="s">
        <v>40</v>
      </c>
      <c r="H131" s="2" t="s">
        <v>36</v>
      </c>
      <c r="I131" s="2" t="s">
        <v>453</v>
      </c>
      <c r="J131" s="3" t="str">
        <f>HYPERLINK("https://www.boe.es/gazeta/dias/1818/02/26/pdfs/GMD-1818-25.pdf#page=8","Abrir facsímil")</f>
        <v>Abrir facsímil</v>
      </c>
      <c r="K131" s="3" t="s">
        <v>38</v>
      </c>
    </row>
    <row r="132" spans="1:11" ht="42" customHeight="1">
      <c r="A132" s="2" t="s">
        <v>441</v>
      </c>
      <c r="B132" s="2" t="s">
        <v>442</v>
      </c>
      <c r="C132" s="2" t="s">
        <v>68</v>
      </c>
      <c r="D132" s="2" t="s">
        <v>69</v>
      </c>
      <c r="E132" s="5">
        <v>-29869</v>
      </c>
      <c r="F132" s="3" t="s">
        <v>140</v>
      </c>
      <c r="G132" s="3" t="s">
        <v>45</v>
      </c>
      <c r="H132" s="2" t="s">
        <v>36</v>
      </c>
      <c r="I132" s="2" t="s">
        <v>454</v>
      </c>
      <c r="J132" s="3" t="str">
        <f>HYPERLINK("https://www.boe.es/gazeta/dias/1818/03/21/pdfs/GMD-1818-35.pdf#page=8","Abrir facsímil")</f>
        <v>Abrir facsímil</v>
      </c>
      <c r="K132" s="3" t="s">
        <v>38</v>
      </c>
    </row>
    <row r="133" spans="1:11" ht="42" customHeight="1">
      <c r="A133" s="2" t="s">
        <v>441</v>
      </c>
      <c r="B133" s="2" t="s">
        <v>442</v>
      </c>
      <c r="C133" s="2" t="s">
        <v>68</v>
      </c>
      <c r="D133" s="2" t="s">
        <v>69</v>
      </c>
      <c r="E133" s="5">
        <v>-29845</v>
      </c>
      <c r="F133" s="3" t="s">
        <v>105</v>
      </c>
      <c r="G133" s="3" t="s">
        <v>45</v>
      </c>
      <c r="H133" s="2" t="s">
        <v>36</v>
      </c>
      <c r="I133" s="2" t="s">
        <v>455</v>
      </c>
      <c r="J133" s="3" t="str">
        <f>HYPERLINK("https://www.boe.es/gazeta/dias/1818/04/14/pdfs/GMD-1818-45.pdf#page=8","Abrir facsímil")</f>
        <v>Abrir facsímil</v>
      </c>
      <c r="K133" s="3" t="s">
        <v>38</v>
      </c>
    </row>
    <row r="134" spans="1:11" ht="42" customHeight="1">
      <c r="A134" s="2" t="s">
        <v>441</v>
      </c>
      <c r="B134" s="2" t="s">
        <v>442</v>
      </c>
      <c r="C134" s="2" t="s">
        <v>33</v>
      </c>
      <c r="D134" s="2" t="s">
        <v>18</v>
      </c>
      <c r="E134" s="5">
        <v>-29841</v>
      </c>
      <c r="F134" s="3" t="s">
        <v>19</v>
      </c>
      <c r="G134" s="3" t="s">
        <v>45</v>
      </c>
      <c r="H134" s="2" t="s">
        <v>36</v>
      </c>
      <c r="I134" s="2" t="s">
        <v>456</v>
      </c>
      <c r="J134" s="3" t="str">
        <f>HYPERLINK("https://www.boe.es/gazeta/dias/1818/04/18/pdfs/GMD-1818-47.pdf#page=8","Abrir facsímil")</f>
        <v>Abrir facsímil</v>
      </c>
      <c r="K134" s="3" t="s">
        <v>38</v>
      </c>
    </row>
    <row r="135" spans="1:11" ht="42" customHeight="1">
      <c r="A135" s="2" t="s">
        <v>441</v>
      </c>
      <c r="B135" s="2" t="s">
        <v>442</v>
      </c>
      <c r="C135" s="2" t="s">
        <v>68</v>
      </c>
      <c r="D135" s="2" t="s">
        <v>69</v>
      </c>
      <c r="E135" s="5">
        <v>-29834</v>
      </c>
      <c r="F135" s="3" t="s">
        <v>457</v>
      </c>
      <c r="G135" s="3" t="s">
        <v>458</v>
      </c>
      <c r="H135" s="2" t="s">
        <v>36</v>
      </c>
      <c r="I135" s="2" t="s">
        <v>459</v>
      </c>
      <c r="J135" s="3" t="str">
        <f>HYPERLINK("https://www.boe.es/gazeta/dias/1818/04/25/pdfs/GMD-1818-50.pdf#page=8","Abrir facsímil")</f>
        <v>Abrir facsímil</v>
      </c>
      <c r="K135" s="3" t="s">
        <v>38</v>
      </c>
    </row>
    <row r="136" spans="1:11" ht="42" customHeight="1">
      <c r="A136" s="2" t="s">
        <v>444</v>
      </c>
      <c r="B136" s="2" t="s">
        <v>445</v>
      </c>
      <c r="C136" s="2" t="s">
        <v>68</v>
      </c>
      <c r="D136" s="2" t="s">
        <v>69</v>
      </c>
      <c r="E136" s="5">
        <v>-29801</v>
      </c>
      <c r="F136" s="3" t="s">
        <v>288</v>
      </c>
      <c r="G136" s="3" t="s">
        <v>45</v>
      </c>
      <c r="H136" s="2" t="s">
        <v>36</v>
      </c>
      <c r="I136" s="2" t="s">
        <v>460</v>
      </c>
      <c r="J136" s="3" t="str">
        <f>HYPERLINK("https://www.boe.es/gazeta/dias/1818/05/28/pdfs/GMD-1818-64.pdf#page=8","Abrir facsímil")</f>
        <v>Abrir facsímil</v>
      </c>
      <c r="K136" s="3" t="s">
        <v>38</v>
      </c>
    </row>
    <row r="137" spans="1:11" ht="42" customHeight="1">
      <c r="A137" s="2" t="s">
        <v>441</v>
      </c>
      <c r="B137" s="2" t="s">
        <v>442</v>
      </c>
      <c r="C137" s="2" t="s">
        <v>26</v>
      </c>
      <c r="D137" s="2" t="s">
        <v>27</v>
      </c>
      <c r="E137" s="5">
        <v>-29780</v>
      </c>
      <c r="F137" s="3" t="s">
        <v>461</v>
      </c>
      <c r="G137" s="3" t="s">
        <v>45</v>
      </c>
      <c r="H137" s="2" t="s">
        <v>36</v>
      </c>
      <c r="I137" s="2" t="s">
        <v>462</v>
      </c>
      <c r="J137" s="3" t="str">
        <f>HYPERLINK("https://www.boe.es/gazeta/dias/1818/06/18/pdfs/GMD-1818-73.pdf#page=8","Abrir facsímil")</f>
        <v>Abrir facsímil</v>
      </c>
      <c r="K137" s="3" t="s">
        <v>38</v>
      </c>
    </row>
    <row r="138" spans="1:11" ht="42" customHeight="1">
      <c r="A138" s="2" t="s">
        <v>441</v>
      </c>
      <c r="B138" s="2" t="s">
        <v>442</v>
      </c>
      <c r="C138" s="2" t="s">
        <v>97</v>
      </c>
      <c r="D138" s="2" t="s">
        <v>18</v>
      </c>
      <c r="E138" s="5">
        <v>-29766</v>
      </c>
      <c r="F138" s="3" t="s">
        <v>276</v>
      </c>
      <c r="G138" s="3" t="s">
        <v>45</v>
      </c>
      <c r="H138" s="2" t="s">
        <v>36</v>
      </c>
      <c r="I138" s="2" t="s">
        <v>463</v>
      </c>
      <c r="J138" s="3" t="str">
        <f>HYPERLINK("https://www.boe.es/gazeta/dias/1818/07/02/pdfs/GMD-1818-79.pdf#page=8","Abrir facsímil")</f>
        <v>Abrir facsímil</v>
      </c>
      <c r="K138" s="3" t="s">
        <v>38</v>
      </c>
    </row>
    <row r="139" spans="1:11" ht="42" customHeight="1">
      <c r="A139" s="2" t="s">
        <v>441</v>
      </c>
      <c r="B139" s="2" t="s">
        <v>442</v>
      </c>
      <c r="C139" s="2" t="s">
        <v>26</v>
      </c>
      <c r="D139" s="2" t="s">
        <v>27</v>
      </c>
      <c r="E139" s="5">
        <v>-29764</v>
      </c>
      <c r="F139" s="3" t="s">
        <v>464</v>
      </c>
      <c r="G139" s="3" t="s">
        <v>45</v>
      </c>
      <c r="H139" s="2" t="s">
        <v>36</v>
      </c>
      <c r="I139" s="2" t="s">
        <v>465</v>
      </c>
      <c r="J139" s="3" t="str">
        <f>HYPERLINK("https://www.boe.es/gazeta/dias/1818/07/04/pdfs/GMD-1818-80.pdf#page=8","Abrir facsímil")</f>
        <v>Abrir facsímil</v>
      </c>
      <c r="K139" s="3" t="s">
        <v>38</v>
      </c>
    </row>
    <row r="140" spans="1:11" ht="42" customHeight="1">
      <c r="A140" s="2" t="s">
        <v>441</v>
      </c>
      <c r="B140" s="2" t="s">
        <v>442</v>
      </c>
      <c r="C140" s="2" t="s">
        <v>68</v>
      </c>
      <c r="D140" s="2" t="s">
        <v>69</v>
      </c>
      <c r="E140" s="5">
        <v>-29754</v>
      </c>
      <c r="F140" s="3" t="s">
        <v>466</v>
      </c>
      <c r="G140" s="3" t="s">
        <v>45</v>
      </c>
      <c r="H140" s="2" t="s">
        <v>36</v>
      </c>
      <c r="I140" s="2" t="s">
        <v>467</v>
      </c>
      <c r="J140" s="3" t="str">
        <f>HYPERLINK("https://www.boe.es/gazeta/dias/1818/07/14/pdfs/GMD-1818-84.pdf#page=8","Abrir facsímil")</f>
        <v>Abrir facsímil</v>
      </c>
      <c r="K140" s="3" t="s">
        <v>38</v>
      </c>
    </row>
    <row r="141" spans="1:11" ht="42" customHeight="1">
      <c r="A141" s="2" t="s">
        <v>441</v>
      </c>
      <c r="B141" s="2" t="s">
        <v>442</v>
      </c>
      <c r="C141" s="2" t="s">
        <v>26</v>
      </c>
      <c r="D141" s="2" t="s">
        <v>27</v>
      </c>
      <c r="E141" s="5">
        <v>-29750</v>
      </c>
      <c r="F141" s="3" t="s">
        <v>384</v>
      </c>
      <c r="G141" s="3" t="s">
        <v>116</v>
      </c>
      <c r="H141" s="2" t="s">
        <v>36</v>
      </c>
      <c r="I141" s="2" t="s">
        <v>468</v>
      </c>
      <c r="J141" s="3" t="str">
        <f>HYPERLINK("https://www.boe.es/gazeta/dias/1818/07/18/pdfs/GMD-1818-86.pdf#page=12","Abrir facsímil")</f>
        <v>Abrir facsímil</v>
      </c>
      <c r="K141" s="3" t="s">
        <v>38</v>
      </c>
    </row>
    <row r="142" spans="1:11" ht="42" customHeight="1">
      <c r="A142" s="2" t="s">
        <v>469</v>
      </c>
      <c r="B142" s="2" t="s">
        <v>470</v>
      </c>
      <c r="C142" s="2" t="s">
        <v>68</v>
      </c>
      <c r="D142" s="2" t="s">
        <v>69</v>
      </c>
      <c r="E142" s="5">
        <v>-29766</v>
      </c>
      <c r="F142" s="3" t="s">
        <v>276</v>
      </c>
      <c r="G142" s="3" t="s">
        <v>45</v>
      </c>
      <c r="H142" s="2" t="s">
        <v>36</v>
      </c>
      <c r="I142" s="2" t="s">
        <v>471</v>
      </c>
      <c r="J142" s="3" t="str">
        <f>HYPERLINK("https://www.boe.es/gazeta/dias/1818/07/02/pdfs/GMD-1818-79.pdf#page=8","Abrir facsímil")</f>
        <v>Abrir facsímil</v>
      </c>
      <c r="K142" s="3" t="s">
        <v>38</v>
      </c>
    </row>
    <row r="143" spans="1:11" ht="42" customHeight="1">
      <c r="A143" s="2" t="s">
        <v>472</v>
      </c>
      <c r="B143" s="2" t="s">
        <v>473</v>
      </c>
      <c r="C143" s="2" t="s">
        <v>68</v>
      </c>
      <c r="D143" s="2" t="s">
        <v>69</v>
      </c>
      <c r="E143" s="5">
        <v>-29929</v>
      </c>
      <c r="F143" s="3" t="s">
        <v>204</v>
      </c>
      <c r="G143" s="3" t="s">
        <v>45</v>
      </c>
      <c r="H143" s="2" t="s">
        <v>36</v>
      </c>
      <c r="I143" s="2" t="s">
        <v>474</v>
      </c>
      <c r="J143" s="3" t="str">
        <f>HYPERLINK("https://www.boe.es/gazeta/dias/1818/01/20/pdfs/GMD-1818-9.pdf#page=8","Abrir facsímil")</f>
        <v>Abrir facsímil</v>
      </c>
      <c r="K143" s="3" t="s">
        <v>38</v>
      </c>
    </row>
    <row r="144" spans="1:11" ht="42" customHeight="1">
      <c r="A144" s="2" t="s">
        <v>475</v>
      </c>
      <c r="B144" s="2" t="s">
        <v>476</v>
      </c>
      <c r="C144" s="2" t="s">
        <v>26</v>
      </c>
      <c r="D144" s="2" t="s">
        <v>27</v>
      </c>
      <c r="E144" s="5">
        <v>-29901</v>
      </c>
      <c r="F144" s="3" t="s">
        <v>417</v>
      </c>
      <c r="G144" s="3" t="s">
        <v>120</v>
      </c>
      <c r="H144" s="2" t="s">
        <v>36</v>
      </c>
      <c r="I144" s="2" t="s">
        <v>477</v>
      </c>
      <c r="J144" s="3" t="str">
        <f>HYPERLINK("https://www.boe.es/gazeta/dias/1818/02/17/pdfs/GMD-1818-21.pdf#page=2","Abrir facsímil")</f>
        <v>Abrir facsímil</v>
      </c>
      <c r="K144" s="3" t="s">
        <v>38</v>
      </c>
    </row>
    <row r="145" spans="1:11" ht="42" customHeight="1">
      <c r="A145" s="2" t="s">
        <v>478</v>
      </c>
      <c r="B145" s="2" t="s">
        <v>478</v>
      </c>
      <c r="C145" s="2" t="s">
        <v>68</v>
      </c>
      <c r="D145" s="2" t="s">
        <v>69</v>
      </c>
      <c r="E145" s="5">
        <v>-29897</v>
      </c>
      <c r="F145" s="3" t="s">
        <v>318</v>
      </c>
      <c r="G145" s="3" t="s">
        <v>20</v>
      </c>
      <c r="H145" s="2" t="s">
        <v>36</v>
      </c>
      <c r="I145" s="2" t="s">
        <v>479</v>
      </c>
      <c r="J145" s="3" t="str">
        <f>HYPERLINK("https://www.boe.es/gazeta/dias/1818/02/21/pdfs/GMD-1818-23.pdf#page=7","Abrir facsímil")</f>
        <v>Abrir facsímil</v>
      </c>
      <c r="K145" s="3" t="s">
        <v>38</v>
      </c>
    </row>
    <row r="146" spans="1:11" ht="42" customHeight="1">
      <c r="A146" s="2" t="s">
        <v>480</v>
      </c>
      <c r="B146" s="2" t="s">
        <v>481</v>
      </c>
      <c r="C146" s="2" t="s">
        <v>33</v>
      </c>
      <c r="D146" s="2" t="s">
        <v>18</v>
      </c>
      <c r="E146" s="5">
        <v>-29733</v>
      </c>
      <c r="F146" s="3" t="s">
        <v>482</v>
      </c>
      <c r="G146" s="3" t="s">
        <v>116</v>
      </c>
      <c r="H146" s="2" t="s">
        <v>36</v>
      </c>
      <c r="I146" s="2" t="s">
        <v>483</v>
      </c>
      <c r="J146" s="3" t="str">
        <f>HYPERLINK("https://www.boe.es/gazeta/dias/1818/08/04/pdfs/GMD-1818-93.pdf#page=12","Abrir facsímil")</f>
        <v>Abrir facsímil</v>
      </c>
      <c r="K146" s="3" t="s">
        <v>38</v>
      </c>
    </row>
    <row r="147" spans="1:11" ht="42" customHeight="1">
      <c r="A147" s="2" t="s">
        <v>480</v>
      </c>
      <c r="B147" s="2" t="s">
        <v>481</v>
      </c>
      <c r="C147" s="2" t="s">
        <v>26</v>
      </c>
      <c r="D147" s="2" t="s">
        <v>27</v>
      </c>
      <c r="E147" s="5">
        <v>-29731</v>
      </c>
      <c r="F147" s="3" t="s">
        <v>299</v>
      </c>
      <c r="G147" s="3" t="s">
        <v>59</v>
      </c>
      <c r="H147" s="2" t="s">
        <v>36</v>
      </c>
      <c r="I147" s="2" t="s">
        <v>484</v>
      </c>
      <c r="J147" s="3" t="str">
        <f>HYPERLINK("https://www.boe.es/gazeta/dias/1818/08/06/pdfs/GMD-1818-94.pdf#page=6","Abrir facsímil")</f>
        <v>Abrir facsímil</v>
      </c>
      <c r="K147" s="3" t="s">
        <v>38</v>
      </c>
    </row>
    <row r="148" spans="1:11" ht="42" customHeight="1">
      <c r="A148" s="2" t="s">
        <v>480</v>
      </c>
      <c r="B148" s="2" t="s">
        <v>481</v>
      </c>
      <c r="C148" s="2" t="s">
        <v>17</v>
      </c>
      <c r="D148" s="2" t="s">
        <v>18</v>
      </c>
      <c r="E148" s="5">
        <v>-29708</v>
      </c>
      <c r="F148" s="3" t="s">
        <v>413</v>
      </c>
      <c r="G148" s="3" t="s">
        <v>106</v>
      </c>
      <c r="H148" s="2" t="s">
        <v>36</v>
      </c>
      <c r="I148" s="2" t="s">
        <v>485</v>
      </c>
      <c r="J148" s="3" t="str">
        <f>HYPERLINK("https://www.boe.es/gazeta/dias/1818/08/29/pdfs/GMD-1818-104.pdf#page=5","Abrir facsímil")</f>
        <v>Abrir facsímil</v>
      </c>
      <c r="K148" s="3" t="s">
        <v>38</v>
      </c>
    </row>
    <row r="149" spans="1:11" ht="42" customHeight="1">
      <c r="A149" s="2" t="s">
        <v>486</v>
      </c>
      <c r="B149" s="2" t="s">
        <v>487</v>
      </c>
      <c r="C149" s="2" t="s">
        <v>63</v>
      </c>
      <c r="D149" s="2" t="s">
        <v>18</v>
      </c>
      <c r="E149" s="5">
        <v>-29729</v>
      </c>
      <c r="F149" s="3" t="s">
        <v>488</v>
      </c>
      <c r="G149" s="3" t="s">
        <v>489</v>
      </c>
      <c r="H149" s="2" t="s">
        <v>36</v>
      </c>
      <c r="I149" s="2" t="s">
        <v>490</v>
      </c>
      <c r="J149" s="3" t="str">
        <f>HYPERLINK("https://www.boe.es/gazeta/dias/1818/08/08/pdfs/GMD-1818-95.pdf#page=8","Abrir facsímil")</f>
        <v>Abrir facsímil</v>
      </c>
      <c r="K149" s="3" t="s">
        <v>38</v>
      </c>
    </row>
    <row r="150" spans="1:11" ht="42" customHeight="1">
      <c r="A150" s="2" t="s">
        <v>491</v>
      </c>
      <c r="B150" s="2" t="s">
        <v>492</v>
      </c>
      <c r="C150" s="2" t="s">
        <v>17</v>
      </c>
      <c r="D150" s="2" t="s">
        <v>18</v>
      </c>
      <c r="E150" s="5">
        <v>-29750</v>
      </c>
      <c r="F150" s="3" t="s">
        <v>384</v>
      </c>
      <c r="G150" s="3" t="s">
        <v>59</v>
      </c>
      <c r="H150" s="2" t="s">
        <v>36</v>
      </c>
      <c r="I150" s="2" t="s">
        <v>493</v>
      </c>
      <c r="J150" s="3" t="str">
        <f>HYPERLINK("https://www.boe.es/gazeta/dias/1818/07/18/pdfs/GMD-1818-86.pdf#page=6","Abrir facsímil")</f>
        <v>Abrir facsímil</v>
      </c>
      <c r="K150" s="3" t="s">
        <v>38</v>
      </c>
    </row>
    <row r="151" spans="1:11" ht="42" customHeight="1">
      <c r="A151" s="2" t="s">
        <v>494</v>
      </c>
      <c r="B151" s="2" t="s">
        <v>495</v>
      </c>
      <c r="C151" s="2" t="s">
        <v>26</v>
      </c>
      <c r="D151" s="2" t="s">
        <v>27</v>
      </c>
      <c r="E151" s="5">
        <v>-29626</v>
      </c>
      <c r="F151" s="3" t="s">
        <v>496</v>
      </c>
      <c r="G151" s="3" t="s">
        <v>20</v>
      </c>
      <c r="H151" s="2" t="s">
        <v>36</v>
      </c>
      <c r="I151" s="2" t="s">
        <v>497</v>
      </c>
      <c r="J151" s="3" t="str">
        <f>HYPERLINK("https://www.boe.es/gazeta/dias/1818/11/19/pdfs/GMD-1818-140.pdf#page=7","Abrir facsímil")</f>
        <v>Abrir facsímil</v>
      </c>
      <c r="K151" s="3" t="s">
        <v>38</v>
      </c>
    </row>
    <row r="152" spans="1:11" ht="42" customHeight="1">
      <c r="A152" s="2" t="s">
        <v>498</v>
      </c>
      <c r="B152" s="2" t="s">
        <v>499</v>
      </c>
      <c r="C152" s="2" t="s">
        <v>26</v>
      </c>
      <c r="D152" s="2" t="s">
        <v>27</v>
      </c>
      <c r="E152" s="5">
        <v>-29934</v>
      </c>
      <c r="F152" s="3" t="s">
        <v>53</v>
      </c>
      <c r="G152" s="3" t="s">
        <v>20</v>
      </c>
      <c r="H152" s="2" t="s">
        <v>21</v>
      </c>
      <c r="I152" s="2" t="s">
        <v>500</v>
      </c>
      <c r="J152" s="3" t="str">
        <f>HYPERLINK("https://www.boe.es/gazeta/dias/1818/01/15/pdfs/GMD-1818-7.pdf#page=7","Abrir facsímil")</f>
        <v>Abrir facsímil</v>
      </c>
      <c r="K152" s="3" t="s">
        <v>23</v>
      </c>
    </row>
    <row r="153" spans="1:11" ht="42" customHeight="1">
      <c r="A153" s="2" t="s">
        <v>501</v>
      </c>
      <c r="B153" s="2" t="s">
        <v>502</v>
      </c>
      <c r="C153" s="2" t="s">
        <v>26</v>
      </c>
      <c r="D153" s="2" t="s">
        <v>27</v>
      </c>
      <c r="E153" s="5">
        <v>-29750</v>
      </c>
      <c r="F153" s="3" t="s">
        <v>384</v>
      </c>
      <c r="G153" s="3" t="s">
        <v>503</v>
      </c>
      <c r="H153" s="2" t="s">
        <v>36</v>
      </c>
      <c r="I153" s="2" t="s">
        <v>504</v>
      </c>
      <c r="J153" s="3" t="str">
        <f>HYPERLINK("https://www.boe.es/gazeta/dias/1818/07/18/pdfs/GMD-1818-86.pdf#page=10","Abrir facsímil")</f>
        <v>Abrir facsímil</v>
      </c>
      <c r="K153" s="3" t="s">
        <v>38</v>
      </c>
    </row>
    <row r="154" spans="1:11" ht="42" customHeight="1">
      <c r="A154" s="2" t="s">
        <v>505</v>
      </c>
      <c r="B154" s="2" t="s">
        <v>506</v>
      </c>
      <c r="C154" s="2" t="s">
        <v>26</v>
      </c>
      <c r="D154" s="2" t="s">
        <v>27</v>
      </c>
      <c r="E154" s="5">
        <v>-29726</v>
      </c>
      <c r="F154" s="3" t="s">
        <v>70</v>
      </c>
      <c r="G154" s="3" t="s">
        <v>106</v>
      </c>
      <c r="H154" s="2" t="s">
        <v>36</v>
      </c>
      <c r="I154" s="2" t="s">
        <v>507</v>
      </c>
      <c r="J154" s="3" t="str">
        <f>HYPERLINK("https://www.boe.es/gazeta/dias/1818/08/11/pdfs/GMD-1818-96.pdf#page=5","Abrir facsímil")</f>
        <v>Abrir facsímil</v>
      </c>
      <c r="K154" s="3" t="s">
        <v>38</v>
      </c>
    </row>
    <row r="155" spans="1:11" ht="42" customHeight="1">
      <c r="A155" s="2" t="s">
        <v>508</v>
      </c>
      <c r="B155" s="2" t="s">
        <v>508</v>
      </c>
      <c r="C155" s="2" t="s">
        <v>26</v>
      </c>
      <c r="D155" s="2" t="s">
        <v>27</v>
      </c>
      <c r="E155" s="5">
        <v>-29911</v>
      </c>
      <c r="F155" s="3" t="s">
        <v>509</v>
      </c>
      <c r="G155" s="3" t="s">
        <v>85</v>
      </c>
      <c r="H155" s="2" t="s">
        <v>36</v>
      </c>
      <c r="I155" s="2" t="s">
        <v>510</v>
      </c>
      <c r="J155" s="3" t="str">
        <f>HYPERLINK("https://www.boe.es/gazeta/dias/1818/02/07/pdfs/GMD-1818-17.pdf#page=3","Abrir facsímil")</f>
        <v>Abrir facsímil</v>
      </c>
      <c r="K155" s="3" t="s">
        <v>38</v>
      </c>
    </row>
    <row r="156" spans="1:11" ht="42" customHeight="1">
      <c r="A156" s="2" t="s">
        <v>511</v>
      </c>
      <c r="B156" s="2" t="s">
        <v>512</v>
      </c>
      <c r="C156" s="2" t="s">
        <v>26</v>
      </c>
      <c r="D156" s="2" t="s">
        <v>27</v>
      </c>
      <c r="E156" s="5">
        <v>-29936</v>
      </c>
      <c r="F156" s="3" t="s">
        <v>398</v>
      </c>
      <c r="G156" s="3" t="s">
        <v>20</v>
      </c>
      <c r="H156" s="2" t="s">
        <v>36</v>
      </c>
      <c r="I156" s="2" t="s">
        <v>513</v>
      </c>
      <c r="J156" s="3" t="str">
        <f>HYPERLINK("https://www.boe.es/gazeta/dias/1818/01/13/pdfs/GMD-1818-6.pdf#page=7","Abrir facsímil")</f>
        <v>Abrir facsímil</v>
      </c>
      <c r="K156" s="3" t="s">
        <v>38</v>
      </c>
    </row>
    <row r="157" spans="1:11" ht="42" customHeight="1">
      <c r="A157" s="2" t="s">
        <v>514</v>
      </c>
      <c r="B157" s="2" t="s">
        <v>515</v>
      </c>
      <c r="C157" s="2" t="s">
        <v>26</v>
      </c>
      <c r="D157" s="2" t="s">
        <v>27</v>
      </c>
      <c r="E157" s="5">
        <v>-29782</v>
      </c>
      <c r="F157" s="3" t="s">
        <v>226</v>
      </c>
      <c r="G157" s="3" t="s">
        <v>20</v>
      </c>
      <c r="H157" s="2" t="s">
        <v>36</v>
      </c>
      <c r="I157" s="2" t="s">
        <v>516</v>
      </c>
      <c r="J157" s="3" t="str">
        <f>HYPERLINK("https://www.boe.es/gazeta/dias/1818/06/16/pdfs/GMD-1818-72.pdf#page=7","Abrir facsímil")</f>
        <v>Abrir facsímil</v>
      </c>
      <c r="K157" s="3" t="s">
        <v>38</v>
      </c>
    </row>
    <row r="158" spans="1:11" ht="42" customHeight="1">
      <c r="A158" s="2" t="s">
        <v>517</v>
      </c>
      <c r="B158" s="2" t="s">
        <v>518</v>
      </c>
      <c r="C158" s="2" t="s">
        <v>26</v>
      </c>
      <c r="D158" s="2" t="s">
        <v>27</v>
      </c>
      <c r="E158" s="5">
        <v>-29801</v>
      </c>
      <c r="F158" s="3" t="s">
        <v>288</v>
      </c>
      <c r="G158" s="3" t="s">
        <v>29</v>
      </c>
      <c r="H158" s="2" t="s">
        <v>36</v>
      </c>
      <c r="I158" s="2" t="s">
        <v>519</v>
      </c>
      <c r="J158" s="3" t="str">
        <f>HYPERLINK("https://www.boe.es/gazeta/dias/1818/05/28/pdfs/GMD-1818-64.pdf#page=4","Abrir facsímil")</f>
        <v>Abrir facsímil</v>
      </c>
      <c r="K158" s="3" t="s">
        <v>38</v>
      </c>
    </row>
    <row r="159" spans="1:11" ht="42" customHeight="1">
      <c r="A159" s="2" t="s">
        <v>520</v>
      </c>
      <c r="B159" s="2" t="s">
        <v>520</v>
      </c>
      <c r="C159" s="2" t="s">
        <v>26</v>
      </c>
      <c r="D159" s="2" t="s">
        <v>27</v>
      </c>
      <c r="E159" s="5">
        <v>-29936</v>
      </c>
      <c r="F159" s="3" t="s">
        <v>398</v>
      </c>
      <c r="G159" s="3" t="s">
        <v>521</v>
      </c>
      <c r="H159" s="2" t="s">
        <v>36</v>
      </c>
      <c r="I159" s="2" t="s">
        <v>522</v>
      </c>
      <c r="J159" s="3" t="str">
        <f>HYPERLINK("https://www.boe.es/gazeta/dias/1818/01/13/pdfs/GMD-1818-6.pdf#page=2","Abrir facsímil")</f>
        <v>Abrir facsímil</v>
      </c>
      <c r="K159" s="3" t="s">
        <v>38</v>
      </c>
    </row>
    <row r="160" spans="1:11" ht="42" customHeight="1">
      <c r="A160" s="2" t="s">
        <v>523</v>
      </c>
      <c r="B160" s="2" t="s">
        <v>524</v>
      </c>
      <c r="C160" s="2" t="s">
        <v>26</v>
      </c>
      <c r="D160" s="2" t="s">
        <v>27</v>
      </c>
      <c r="E160" s="5">
        <v>-29901</v>
      </c>
      <c r="F160" s="3" t="s">
        <v>417</v>
      </c>
      <c r="G160" s="3" t="s">
        <v>418</v>
      </c>
      <c r="H160" s="2" t="s">
        <v>36</v>
      </c>
      <c r="I160" s="2" t="s">
        <v>525</v>
      </c>
      <c r="J160" s="3" t="str">
        <f>HYPERLINK("https://www.boe.es/gazeta/dias/1818/02/17/pdfs/GMD-1818-21.pdf#page=9","Abrir facsímil")</f>
        <v>Abrir facsímil</v>
      </c>
      <c r="K160" s="3" t="s">
        <v>38</v>
      </c>
    </row>
    <row r="161" spans="1:11" ht="42" customHeight="1">
      <c r="A161" s="2" t="s">
        <v>526</v>
      </c>
      <c r="B161" s="2" t="s">
        <v>527</v>
      </c>
      <c r="C161" s="2" t="s">
        <v>68</v>
      </c>
      <c r="D161" s="2" t="s">
        <v>69</v>
      </c>
      <c r="E161" s="5">
        <v>-29694</v>
      </c>
      <c r="F161" s="3" t="s">
        <v>528</v>
      </c>
      <c r="G161" s="3" t="s">
        <v>45</v>
      </c>
      <c r="H161" s="2" t="s">
        <v>36</v>
      </c>
      <c r="I161" s="2" t="s">
        <v>529</v>
      </c>
      <c r="J161" s="3" t="str">
        <f>HYPERLINK("https://www.boe.es/gazeta/dias/1818/09/12/pdfs/GMD-1818-110.pdf#page=8","Abrir facsímil")</f>
        <v>Abrir facsímil</v>
      </c>
      <c r="K161" s="3" t="s">
        <v>38</v>
      </c>
    </row>
    <row r="162" spans="1:11" ht="42" customHeight="1">
      <c r="A162" s="2" t="s">
        <v>530</v>
      </c>
      <c r="B162" s="2" t="s">
        <v>531</v>
      </c>
      <c r="C162" s="2" t="s">
        <v>33</v>
      </c>
      <c r="D162" s="2" t="s">
        <v>18</v>
      </c>
      <c r="E162" s="5">
        <v>-29899</v>
      </c>
      <c r="F162" s="3" t="s">
        <v>232</v>
      </c>
      <c r="G162" s="3" t="s">
        <v>45</v>
      </c>
      <c r="H162" s="2" t="s">
        <v>36</v>
      </c>
      <c r="I162" s="2" t="s">
        <v>532</v>
      </c>
      <c r="J162" s="3" t="str">
        <f>HYPERLINK("https://www.boe.es/gazeta/dias/1818/02/19/pdfs/GMD-1818-22.pdf#page=8","Abrir facsímil")</f>
        <v>Abrir facsímil</v>
      </c>
      <c r="K162" s="3" t="s">
        <v>38</v>
      </c>
    </row>
    <row r="163" spans="1:11" ht="42" customHeight="1">
      <c r="A163" s="2" t="s">
        <v>533</v>
      </c>
      <c r="B163" s="2" t="s">
        <v>534</v>
      </c>
      <c r="C163" s="2" t="s">
        <v>26</v>
      </c>
      <c r="D163" s="2" t="s">
        <v>27</v>
      </c>
      <c r="E163" s="5">
        <v>-29934</v>
      </c>
      <c r="F163" s="3" t="s">
        <v>53</v>
      </c>
      <c r="G163" s="3" t="s">
        <v>59</v>
      </c>
      <c r="H163" s="2" t="s">
        <v>36</v>
      </c>
      <c r="I163" s="2" t="s">
        <v>535</v>
      </c>
      <c r="J163" s="3" t="str">
        <f>HYPERLINK("https://www.boe.es/gazeta/dias/1818/01/15/pdfs/GMD-1818-7.pdf#page=6","Abrir facsímil")</f>
        <v>Abrir facsímil</v>
      </c>
      <c r="K163" s="3" t="s">
        <v>38</v>
      </c>
    </row>
    <row r="164" spans="1:11" ht="42" customHeight="1">
      <c r="A164" s="2" t="s">
        <v>533</v>
      </c>
      <c r="B164" s="2" t="s">
        <v>534</v>
      </c>
      <c r="C164" s="2" t="s">
        <v>26</v>
      </c>
      <c r="D164" s="2" t="s">
        <v>27</v>
      </c>
      <c r="E164" s="5">
        <v>-29747</v>
      </c>
      <c r="F164" s="3" t="s">
        <v>536</v>
      </c>
      <c r="G164" s="3" t="s">
        <v>29</v>
      </c>
      <c r="H164" s="2" t="s">
        <v>36</v>
      </c>
      <c r="I164" s="2" t="s">
        <v>537</v>
      </c>
      <c r="J164" s="3" t="str">
        <f>HYPERLINK("https://www.boe.es/gazeta/dias/1818/07/21/pdfs/GMD-1818-87.pdf#page=4","Abrir facsímil")</f>
        <v>Abrir facsímil</v>
      </c>
      <c r="K164" s="3" t="s">
        <v>38</v>
      </c>
    </row>
    <row r="165" spans="1:11" ht="42" customHeight="1">
      <c r="A165" s="2" t="s">
        <v>533</v>
      </c>
      <c r="B165" s="2" t="s">
        <v>534</v>
      </c>
      <c r="C165" s="2" t="s">
        <v>68</v>
      </c>
      <c r="D165" s="2" t="s">
        <v>69</v>
      </c>
      <c r="E165" s="5">
        <v>-29677</v>
      </c>
      <c r="F165" s="3" t="s">
        <v>157</v>
      </c>
      <c r="G165" s="3" t="s">
        <v>158</v>
      </c>
      <c r="H165" s="2" t="s">
        <v>36</v>
      </c>
      <c r="I165" s="2" t="s">
        <v>538</v>
      </c>
      <c r="J165" s="3" t="str">
        <f>HYPERLINK("https://www.boe.es/gazeta/dias/1818/09/29/pdfs/GMD-1818-117.pdf#page=8","Abrir facsímil")</f>
        <v>Abrir facsímil</v>
      </c>
      <c r="K165" s="3" t="s">
        <v>38</v>
      </c>
    </row>
    <row r="166" spans="1:11" ht="42" customHeight="1">
      <c r="A166" s="2" t="s">
        <v>539</v>
      </c>
      <c r="B166" s="2" t="s">
        <v>540</v>
      </c>
      <c r="C166" s="2" t="s">
        <v>26</v>
      </c>
      <c r="D166" s="2" t="s">
        <v>27</v>
      </c>
      <c r="E166" s="5">
        <v>-29703</v>
      </c>
      <c r="F166" s="3" t="s">
        <v>294</v>
      </c>
      <c r="G166" s="3" t="s">
        <v>295</v>
      </c>
      <c r="H166" s="2" t="s">
        <v>36</v>
      </c>
      <c r="I166" s="2" t="s">
        <v>541</v>
      </c>
      <c r="J166" s="3" t="str">
        <f>HYPERLINK("https://www.boe.es/gazeta/dias/1818/09/03/pdfs/GMD-1818-106.pdf#page=5","Abrir facsímil")</f>
        <v>Abrir facsímil</v>
      </c>
      <c r="K166" s="3" t="s">
        <v>38</v>
      </c>
    </row>
    <row r="167" spans="1:11" ht="42" customHeight="1">
      <c r="A167" s="2" t="s">
        <v>542</v>
      </c>
      <c r="B167" s="2" t="s">
        <v>543</v>
      </c>
      <c r="C167" s="2" t="s">
        <v>26</v>
      </c>
      <c r="D167" s="2" t="s">
        <v>27</v>
      </c>
      <c r="E167" s="5">
        <v>-29948</v>
      </c>
      <c r="F167" s="3" t="s">
        <v>199</v>
      </c>
      <c r="G167" s="3" t="s">
        <v>544</v>
      </c>
      <c r="H167" s="2" t="s">
        <v>21</v>
      </c>
      <c r="I167" s="2" t="s">
        <v>545</v>
      </c>
      <c r="J167" s="3" t="str">
        <f>HYPERLINK("https://www.boe.es/gazeta/dias/1818/01/01/pdfs/GMD-1818-1.pdf#page=6","Abrir facsímil")</f>
        <v>Abrir facsímil</v>
      </c>
      <c r="K167" s="3" t="s">
        <v>23</v>
      </c>
    </row>
    <row r="168" spans="1:11" ht="42" customHeight="1">
      <c r="A168" s="2" t="s">
        <v>546</v>
      </c>
      <c r="B168" s="2" t="s">
        <v>547</v>
      </c>
      <c r="C168" s="2" t="s">
        <v>17</v>
      </c>
      <c r="D168" s="2" t="s">
        <v>18</v>
      </c>
      <c r="E168" s="5">
        <v>-29836</v>
      </c>
      <c r="F168" s="3" t="s">
        <v>119</v>
      </c>
      <c r="G168" s="3" t="s">
        <v>106</v>
      </c>
      <c r="H168" s="2" t="s">
        <v>36</v>
      </c>
      <c r="I168" s="2" t="s">
        <v>548</v>
      </c>
      <c r="J168" s="3" t="str">
        <f>HYPERLINK("https://www.boe.es/gazeta/dias/1818/04/23/pdfs/GMD-1818-49.pdf#page=5","Abrir facsímil")</f>
        <v>Abrir facsímil</v>
      </c>
      <c r="K168" s="3" t="s">
        <v>38</v>
      </c>
    </row>
    <row r="169" spans="1:11" ht="42" customHeight="1">
      <c r="A169" s="2" t="s">
        <v>549</v>
      </c>
      <c r="B169" s="2" t="s">
        <v>550</v>
      </c>
      <c r="C169" s="2" t="s">
        <v>26</v>
      </c>
      <c r="D169" s="2" t="s">
        <v>27</v>
      </c>
      <c r="E169" s="5">
        <v>-29626</v>
      </c>
      <c r="F169" s="3" t="s">
        <v>496</v>
      </c>
      <c r="G169" s="3" t="s">
        <v>551</v>
      </c>
      <c r="H169" s="2" t="s">
        <v>36</v>
      </c>
      <c r="I169" s="2" t="s">
        <v>552</v>
      </c>
      <c r="J169" s="3" t="str">
        <f>HYPERLINK("https://www.boe.es/gazeta/dias/1818/11/19/pdfs/GMD-1818-140.pdf#page=5","Abrir facsímil")</f>
        <v>Abrir facsímil</v>
      </c>
      <c r="K169" s="3" t="s">
        <v>38</v>
      </c>
    </row>
    <row r="170" spans="1:11" ht="42" customHeight="1">
      <c r="A170" s="2" t="s">
        <v>553</v>
      </c>
      <c r="B170" s="2" t="s">
        <v>554</v>
      </c>
      <c r="C170" s="2" t="s">
        <v>26</v>
      </c>
      <c r="D170" s="2" t="s">
        <v>27</v>
      </c>
      <c r="E170" s="5">
        <v>-29596</v>
      </c>
      <c r="F170" s="3" t="s">
        <v>555</v>
      </c>
      <c r="G170" s="3" t="s">
        <v>556</v>
      </c>
      <c r="H170" s="2" t="s">
        <v>36</v>
      </c>
      <c r="I170" s="2" t="s">
        <v>557</v>
      </c>
      <c r="J170" s="3" t="str">
        <f>HYPERLINK("https://www.boe.es/gazeta/dias/1818/12/19/pdfs/GMD-1818-153.pdf#page=4","Abrir facsímil")</f>
        <v>Abrir facsímil</v>
      </c>
      <c r="K170" s="3" t="s">
        <v>38</v>
      </c>
    </row>
    <row r="171" spans="1:11" ht="42" customHeight="1">
      <c r="A171" s="2" t="s">
        <v>558</v>
      </c>
      <c r="B171" s="2" t="s">
        <v>559</v>
      </c>
      <c r="C171" s="2" t="s">
        <v>26</v>
      </c>
      <c r="D171" s="2" t="s">
        <v>27</v>
      </c>
      <c r="E171" s="5">
        <v>-29635</v>
      </c>
      <c r="F171" s="3" t="s">
        <v>560</v>
      </c>
      <c r="G171" s="3" t="s">
        <v>45</v>
      </c>
      <c r="H171" s="2" t="s">
        <v>36</v>
      </c>
      <c r="I171" s="2" t="s">
        <v>561</v>
      </c>
      <c r="J171" s="3" t="str">
        <f>HYPERLINK("https://www.boe.es/gazeta/dias/1818/11/10/pdfs/GMD-1818-136.pdf#page=8","Abrir facsímil")</f>
        <v>Abrir facsímil</v>
      </c>
      <c r="K171" s="3" t="s">
        <v>38</v>
      </c>
    </row>
    <row r="172" spans="1:11" ht="42" customHeight="1">
      <c r="A172" s="2" t="s">
        <v>562</v>
      </c>
      <c r="B172" s="2" t="s">
        <v>563</v>
      </c>
      <c r="C172" s="2" t="s">
        <v>57</v>
      </c>
      <c r="D172" s="2" t="s">
        <v>18</v>
      </c>
      <c r="E172" s="5">
        <v>-29897</v>
      </c>
      <c r="F172" s="3" t="s">
        <v>318</v>
      </c>
      <c r="G172" s="3" t="s">
        <v>59</v>
      </c>
      <c r="H172" s="2" t="s">
        <v>36</v>
      </c>
      <c r="I172" s="2" t="s">
        <v>564</v>
      </c>
      <c r="J172" s="3" t="str">
        <f>HYPERLINK("https://www.boe.es/gazeta/dias/1818/02/21/pdfs/GMD-1818-23.pdf#page=6","Abrir facsímil")</f>
        <v>Abrir facsímil</v>
      </c>
      <c r="K172" s="3" t="s">
        <v>38</v>
      </c>
    </row>
    <row r="173" spans="1:11" ht="42" customHeight="1">
      <c r="A173" s="2" t="s">
        <v>565</v>
      </c>
      <c r="B173" s="2" t="s">
        <v>566</v>
      </c>
      <c r="C173" s="2" t="s">
        <v>26</v>
      </c>
      <c r="D173" s="2" t="s">
        <v>27</v>
      </c>
      <c r="E173" s="5">
        <v>-29831</v>
      </c>
      <c r="F173" s="3" t="s">
        <v>567</v>
      </c>
      <c r="G173" s="3" t="s">
        <v>20</v>
      </c>
      <c r="H173" s="2" t="s">
        <v>36</v>
      </c>
      <c r="I173" s="2" t="s">
        <v>568</v>
      </c>
      <c r="J173" s="3" t="str">
        <f>HYPERLINK("https://www.boe.es/gazeta/dias/1818/04/28/pdfs/GMD-1818-51.pdf#page=7","Abrir facsímil")</f>
        <v>Abrir facsímil</v>
      </c>
      <c r="K173" s="3" t="s">
        <v>38</v>
      </c>
    </row>
    <row r="174" spans="1:11" ht="42" customHeight="1">
      <c r="A174" s="2" t="s">
        <v>569</v>
      </c>
      <c r="B174" s="2" t="s">
        <v>570</v>
      </c>
      <c r="C174" s="2" t="s">
        <v>17</v>
      </c>
      <c r="D174" s="2" t="s">
        <v>18</v>
      </c>
      <c r="E174" s="5">
        <v>-29848</v>
      </c>
      <c r="F174" s="3" t="s">
        <v>571</v>
      </c>
      <c r="G174" s="3" t="s">
        <v>20</v>
      </c>
      <c r="H174" s="2" t="s">
        <v>36</v>
      </c>
      <c r="I174" s="2" t="s">
        <v>572</v>
      </c>
      <c r="J174" s="3" t="str">
        <f>HYPERLINK("https://www.boe.es/gazeta/dias/1818/04/11/pdfs/GMD-1818-44.pdf#page=7","Abrir facsímil")</f>
        <v>Abrir facsímil</v>
      </c>
      <c r="K174" s="3" t="s">
        <v>38</v>
      </c>
    </row>
    <row r="175" spans="1:11" ht="42" customHeight="1">
      <c r="A175" s="2" t="s">
        <v>573</v>
      </c>
      <c r="B175" s="2" t="s">
        <v>574</v>
      </c>
      <c r="C175" s="2" t="s">
        <v>68</v>
      </c>
      <c r="D175" s="2" t="s">
        <v>69</v>
      </c>
      <c r="E175" s="5">
        <v>-29822</v>
      </c>
      <c r="F175" s="3" t="s">
        <v>373</v>
      </c>
      <c r="G175" s="3" t="s">
        <v>20</v>
      </c>
      <c r="H175" s="2" t="s">
        <v>36</v>
      </c>
      <c r="I175" s="2" t="s">
        <v>575</v>
      </c>
      <c r="J175" s="3" t="str">
        <f>HYPERLINK("https://www.boe.es/gazeta/dias/1818/05/07/pdfs/GMD-1818-55.pdf#page=7","Abrir facsímil")</f>
        <v>Abrir facsímil</v>
      </c>
      <c r="K175" s="3" t="s">
        <v>38</v>
      </c>
    </row>
    <row r="176" spans="1:11" ht="42" customHeight="1">
      <c r="A176" s="2" t="s">
        <v>576</v>
      </c>
      <c r="B176" s="2" t="s">
        <v>576</v>
      </c>
      <c r="C176" s="2" t="s">
        <v>26</v>
      </c>
      <c r="D176" s="2" t="s">
        <v>27</v>
      </c>
      <c r="E176" s="5">
        <v>-29645</v>
      </c>
      <c r="F176" s="3" t="s">
        <v>577</v>
      </c>
      <c r="G176" s="3" t="s">
        <v>106</v>
      </c>
      <c r="H176" s="2" t="s">
        <v>36</v>
      </c>
      <c r="I176" s="2" t="s">
        <v>578</v>
      </c>
      <c r="J176" s="3" t="str">
        <f>HYPERLINK("https://www.boe.es/gazeta/dias/1818/10/31/pdfs/GMD-1818-132.pdf#page=5","Abrir facsímil")</f>
        <v>Abrir facsímil</v>
      </c>
      <c r="K176" s="3" t="s">
        <v>38</v>
      </c>
    </row>
    <row r="177" spans="1:11" ht="42" customHeight="1">
      <c r="A177" s="2" t="s">
        <v>579</v>
      </c>
      <c r="B177" s="2" t="s">
        <v>580</v>
      </c>
      <c r="C177" s="2" t="s">
        <v>33</v>
      </c>
      <c r="D177" s="2" t="s">
        <v>18</v>
      </c>
      <c r="E177" s="5">
        <v>-29736</v>
      </c>
      <c r="F177" s="3" t="s">
        <v>581</v>
      </c>
      <c r="G177" s="3" t="s">
        <v>106</v>
      </c>
      <c r="H177" s="2" t="s">
        <v>36</v>
      </c>
      <c r="I177" s="2" t="s">
        <v>582</v>
      </c>
      <c r="J177" s="3" t="str">
        <f>HYPERLINK("https://www.boe.es/gazeta/dias/1818/08/01/pdfs/GMD-1818-92.pdf#page=5","Abrir facsímil")</f>
        <v>Abrir facsímil</v>
      </c>
      <c r="K177" s="3" t="s">
        <v>38</v>
      </c>
    </row>
    <row r="178" spans="1:11" ht="42" customHeight="1">
      <c r="A178" s="2" t="s">
        <v>583</v>
      </c>
      <c r="B178" s="2" t="s">
        <v>584</v>
      </c>
      <c r="C178" s="2" t="s">
        <v>26</v>
      </c>
      <c r="D178" s="2" t="s">
        <v>27</v>
      </c>
      <c r="E178" s="5">
        <v>-29649</v>
      </c>
      <c r="F178" s="3" t="s">
        <v>585</v>
      </c>
      <c r="G178" s="3" t="s">
        <v>106</v>
      </c>
      <c r="H178" s="2" t="s">
        <v>36</v>
      </c>
      <c r="I178" s="2" t="s">
        <v>586</v>
      </c>
      <c r="J178" s="3" t="str">
        <f>HYPERLINK("https://www.boe.es/gazeta/dias/1818/10/27/pdfs/GMD-1818-130.pdf#page=5","Abrir facsímil")</f>
        <v>Abrir facsímil</v>
      </c>
      <c r="K178" s="3" t="s">
        <v>38</v>
      </c>
    </row>
    <row r="179" spans="1:11" ht="42" customHeight="1">
      <c r="A179" s="2" t="s">
        <v>583</v>
      </c>
      <c r="B179" s="2" t="s">
        <v>584</v>
      </c>
      <c r="C179" s="2" t="s">
        <v>26</v>
      </c>
      <c r="D179" s="2" t="s">
        <v>27</v>
      </c>
      <c r="E179" s="5">
        <v>-29645</v>
      </c>
      <c r="F179" s="3" t="s">
        <v>577</v>
      </c>
      <c r="G179" s="3" t="s">
        <v>29</v>
      </c>
      <c r="H179" s="2" t="s">
        <v>36</v>
      </c>
      <c r="I179" s="2" t="s">
        <v>587</v>
      </c>
      <c r="J179" s="3" t="str">
        <f>HYPERLINK("https://www.boe.es/gazeta/dias/1818/10/31/pdfs/GMD-1818-132.pdf#page=4","Abrir facsímil")</f>
        <v>Abrir facsímil</v>
      </c>
      <c r="K179" s="3" t="s">
        <v>38</v>
      </c>
    </row>
    <row r="180" spans="1:11" ht="42" customHeight="1">
      <c r="A180" s="2" t="s">
        <v>588</v>
      </c>
      <c r="B180" s="2" t="s">
        <v>589</v>
      </c>
      <c r="C180" s="2" t="s">
        <v>26</v>
      </c>
      <c r="D180" s="2" t="s">
        <v>27</v>
      </c>
      <c r="E180" s="5">
        <v>-29589</v>
      </c>
      <c r="F180" s="3" t="s">
        <v>210</v>
      </c>
      <c r="G180" s="3" t="s">
        <v>59</v>
      </c>
      <c r="H180" s="2" t="s">
        <v>36</v>
      </c>
      <c r="I180" s="2" t="s">
        <v>590</v>
      </c>
      <c r="J180" s="3" t="str">
        <f>HYPERLINK("https://www.boe.es/gazeta/dias/1818/12/26/pdfs/GMD-1818-156.pdf#page=6","Abrir facsímil")</f>
        <v>Abrir facsímil</v>
      </c>
      <c r="K180" s="3" t="s">
        <v>38</v>
      </c>
    </row>
    <row r="181" spans="1:11" ht="42" customHeight="1">
      <c r="A181" s="2" t="s">
        <v>591</v>
      </c>
      <c r="B181" s="2" t="s">
        <v>591</v>
      </c>
      <c r="C181" s="2" t="s">
        <v>26</v>
      </c>
      <c r="D181" s="2" t="s">
        <v>27</v>
      </c>
      <c r="E181" s="5">
        <v>-29922</v>
      </c>
      <c r="F181" s="3" t="s">
        <v>174</v>
      </c>
      <c r="G181" s="3" t="s">
        <v>20</v>
      </c>
      <c r="H181" s="2" t="s">
        <v>36</v>
      </c>
      <c r="I181" s="2" t="s">
        <v>592</v>
      </c>
      <c r="J181" s="3" t="str">
        <f>HYPERLINK("https://www.boe.es/gazeta/dias/1818/01/27/pdfs/GMD-1818-12.pdf#page=7","Abrir facsímil")</f>
        <v>Abrir facsímil</v>
      </c>
      <c r="K181" s="3" t="s">
        <v>38</v>
      </c>
    </row>
    <row r="182" spans="1:11" ht="42" customHeight="1">
      <c r="A182" s="2" t="s">
        <v>591</v>
      </c>
      <c r="B182" s="2" t="s">
        <v>591</v>
      </c>
      <c r="C182" s="2" t="s">
        <v>68</v>
      </c>
      <c r="D182" s="2" t="s">
        <v>69</v>
      </c>
      <c r="E182" s="5">
        <v>-29838</v>
      </c>
      <c r="F182" s="3" t="s">
        <v>593</v>
      </c>
      <c r="G182" s="3" t="s">
        <v>45</v>
      </c>
      <c r="H182" s="2" t="s">
        <v>36</v>
      </c>
      <c r="I182" s="2" t="s">
        <v>594</v>
      </c>
      <c r="J182" s="3" t="str">
        <f>HYPERLINK("https://www.boe.es/gazeta/dias/1818/04/21/pdfs/GMD-1818-48.pdf#page=8","Abrir facsímil")</f>
        <v>Abrir facsímil</v>
      </c>
      <c r="K182" s="3" t="s">
        <v>38</v>
      </c>
    </row>
    <row r="183" spans="1:11" ht="42" customHeight="1">
      <c r="A183" s="2" t="s">
        <v>591</v>
      </c>
      <c r="B183" s="2" t="s">
        <v>591</v>
      </c>
      <c r="C183" s="2" t="s">
        <v>26</v>
      </c>
      <c r="D183" s="2" t="s">
        <v>27</v>
      </c>
      <c r="E183" s="5">
        <v>-29726</v>
      </c>
      <c r="F183" s="3" t="s">
        <v>70</v>
      </c>
      <c r="G183" s="3" t="s">
        <v>106</v>
      </c>
      <c r="H183" s="2" t="s">
        <v>36</v>
      </c>
      <c r="I183" s="2" t="s">
        <v>595</v>
      </c>
      <c r="J183" s="3" t="str">
        <f>HYPERLINK("https://www.boe.es/gazeta/dias/1818/08/11/pdfs/GMD-1818-96.pdf#page=5","Abrir facsímil")</f>
        <v>Abrir facsímil</v>
      </c>
      <c r="K183" s="3" t="s">
        <v>38</v>
      </c>
    </row>
    <row r="184" spans="1:11" ht="42" customHeight="1">
      <c r="A184" s="2" t="s">
        <v>591</v>
      </c>
      <c r="B184" s="2" t="s">
        <v>591</v>
      </c>
      <c r="C184" s="2" t="s">
        <v>26</v>
      </c>
      <c r="D184" s="2" t="s">
        <v>27</v>
      </c>
      <c r="E184" s="5">
        <v>-29701</v>
      </c>
      <c r="F184" s="3" t="s">
        <v>596</v>
      </c>
      <c r="G184" s="3" t="s">
        <v>59</v>
      </c>
      <c r="H184" s="2" t="s">
        <v>36</v>
      </c>
      <c r="I184" s="2" t="s">
        <v>597</v>
      </c>
      <c r="J184" s="3" t="str">
        <f>HYPERLINK("https://www.boe.es/gazeta/dias/1818/09/05/pdfs/GMD-1818-107.pdf#page=6","Abrir facsímil")</f>
        <v>Abrir facsímil</v>
      </c>
      <c r="K184" s="3" t="s">
        <v>38</v>
      </c>
    </row>
    <row r="185" spans="1:11" ht="42" customHeight="1">
      <c r="A185" s="2" t="s">
        <v>591</v>
      </c>
      <c r="B185" s="2" t="s">
        <v>591</v>
      </c>
      <c r="C185" s="2" t="s">
        <v>26</v>
      </c>
      <c r="D185" s="2" t="s">
        <v>27</v>
      </c>
      <c r="E185" s="5">
        <v>-29626</v>
      </c>
      <c r="F185" s="3" t="s">
        <v>496</v>
      </c>
      <c r="G185" s="3" t="s">
        <v>59</v>
      </c>
      <c r="H185" s="2" t="s">
        <v>36</v>
      </c>
      <c r="I185" s="2" t="s">
        <v>598</v>
      </c>
      <c r="J185" s="3" t="str">
        <f>HYPERLINK("https://www.boe.es/gazeta/dias/1818/11/19/pdfs/GMD-1818-140.pdf#page=6","Abrir facsímil")</f>
        <v>Abrir facsímil</v>
      </c>
      <c r="K185" s="3" t="s">
        <v>38</v>
      </c>
    </row>
    <row r="186" spans="1:11" ht="42" customHeight="1">
      <c r="A186" s="2" t="s">
        <v>599</v>
      </c>
      <c r="B186" s="2" t="s">
        <v>600</v>
      </c>
      <c r="C186" s="2" t="s">
        <v>68</v>
      </c>
      <c r="D186" s="2" t="s">
        <v>69</v>
      </c>
      <c r="E186" s="5">
        <v>-29656</v>
      </c>
      <c r="F186" s="3" t="s">
        <v>601</v>
      </c>
      <c r="G186" s="3" t="s">
        <v>45</v>
      </c>
      <c r="H186" s="2" t="s">
        <v>36</v>
      </c>
      <c r="I186" s="2" t="s">
        <v>602</v>
      </c>
      <c r="J186" s="3" t="str">
        <f>HYPERLINK("https://www.boe.es/gazeta/dias/1818/10/20/pdfs/GMD-1818-127.pdf#page=8","Abrir facsímil")</f>
        <v>Abrir facsímil</v>
      </c>
      <c r="K186" s="3" t="s">
        <v>38</v>
      </c>
    </row>
    <row r="187" spans="1:11" ht="42" customHeight="1">
      <c r="A187" s="2" t="s">
        <v>603</v>
      </c>
      <c r="B187" s="2" t="s">
        <v>603</v>
      </c>
      <c r="C187" s="2" t="s">
        <v>26</v>
      </c>
      <c r="D187" s="2" t="s">
        <v>27</v>
      </c>
      <c r="E187" s="5">
        <v>-29626</v>
      </c>
      <c r="F187" s="3" t="s">
        <v>496</v>
      </c>
      <c r="G187" s="3" t="s">
        <v>20</v>
      </c>
      <c r="H187" s="2" t="s">
        <v>36</v>
      </c>
      <c r="I187" s="2" t="s">
        <v>604</v>
      </c>
      <c r="J187" s="3" t="str">
        <f>HYPERLINK("https://www.boe.es/gazeta/dias/1818/11/19/pdfs/GMD-1818-140.pdf#page=7","Abrir facsímil")</f>
        <v>Abrir facsímil</v>
      </c>
      <c r="K187" s="3" t="s">
        <v>38</v>
      </c>
    </row>
    <row r="188" spans="1:11" ht="42" customHeight="1">
      <c r="A188" s="2" t="s">
        <v>605</v>
      </c>
      <c r="B188" s="2" t="s">
        <v>605</v>
      </c>
      <c r="C188" s="2" t="s">
        <v>26</v>
      </c>
      <c r="D188" s="2" t="s">
        <v>27</v>
      </c>
      <c r="E188" s="5">
        <v>-29726</v>
      </c>
      <c r="F188" s="3" t="s">
        <v>70</v>
      </c>
      <c r="G188" s="3" t="s">
        <v>606</v>
      </c>
      <c r="H188" s="2" t="s">
        <v>36</v>
      </c>
      <c r="I188" s="2" t="s">
        <v>607</v>
      </c>
      <c r="J188" s="3" t="str">
        <f>HYPERLINK("https://www.boe.es/gazeta/dias/1818/08/11/pdfs/GMD-1818-96.pdf#page=15","Abrir facsímil")</f>
        <v>Abrir facsímil</v>
      </c>
      <c r="K188" s="3" t="s">
        <v>38</v>
      </c>
    </row>
    <row r="189" spans="1:11" ht="42" customHeight="1">
      <c r="A189" s="2" t="s">
        <v>608</v>
      </c>
      <c r="B189" s="2" t="s">
        <v>609</v>
      </c>
      <c r="C189" s="2" t="s">
        <v>26</v>
      </c>
      <c r="D189" s="2" t="s">
        <v>27</v>
      </c>
      <c r="E189" s="5">
        <v>-29642</v>
      </c>
      <c r="F189" s="3" t="s">
        <v>248</v>
      </c>
      <c r="G189" s="3" t="s">
        <v>249</v>
      </c>
      <c r="H189" s="2" t="s">
        <v>36</v>
      </c>
      <c r="I189" s="2" t="s">
        <v>610</v>
      </c>
      <c r="J189" s="3" t="str">
        <f>HYPERLINK("https://www.boe.es/gazeta/dias/1818/11/03/pdfs/GMD-1818-133.pdf#page=8","Abrir facsímil")</f>
        <v>Abrir facsímil</v>
      </c>
      <c r="K189" s="3" t="s">
        <v>38</v>
      </c>
    </row>
    <row r="190" spans="1:11" ht="42" customHeight="1">
      <c r="A190" s="2" t="s">
        <v>611</v>
      </c>
      <c r="B190" s="2" t="s">
        <v>612</v>
      </c>
      <c r="C190" s="2" t="s">
        <v>26</v>
      </c>
      <c r="D190" s="2" t="s">
        <v>27</v>
      </c>
      <c r="E190" s="5">
        <v>-29887</v>
      </c>
      <c r="F190" s="3" t="s">
        <v>613</v>
      </c>
      <c r="G190" s="3" t="s">
        <v>59</v>
      </c>
      <c r="H190" s="2" t="s">
        <v>36</v>
      </c>
      <c r="I190" s="2" t="s">
        <v>614</v>
      </c>
      <c r="J190" s="3" t="str">
        <f>HYPERLINK("https://www.boe.es/gazeta/dias/1818/03/03/pdfs/GMD-1818-27.pdf#page=6","Abrir facsímil")</f>
        <v>Abrir facsímil</v>
      </c>
      <c r="K190" s="3" t="s">
        <v>38</v>
      </c>
    </row>
    <row r="191" spans="1:11" ht="42" customHeight="1">
      <c r="A191" s="2" t="s">
        <v>615</v>
      </c>
      <c r="B191" s="2" t="s">
        <v>616</v>
      </c>
      <c r="C191" s="2" t="s">
        <v>26</v>
      </c>
      <c r="D191" s="2" t="s">
        <v>27</v>
      </c>
      <c r="E191" s="5">
        <v>-29878</v>
      </c>
      <c r="F191" s="3" t="s">
        <v>353</v>
      </c>
      <c r="G191" s="3" t="s">
        <v>45</v>
      </c>
      <c r="H191" s="2" t="s">
        <v>21</v>
      </c>
      <c r="I191" s="2" t="s">
        <v>617</v>
      </c>
      <c r="J191" s="3" t="str">
        <f>HYPERLINK("https://www.boe.es/gazeta/dias/1818/03/12/pdfs/GMD-1818-31.pdf#page=8","Abrir facsímil")</f>
        <v>Abrir facsímil</v>
      </c>
      <c r="K191" s="3" t="s">
        <v>23</v>
      </c>
    </row>
    <row r="192" spans="1:11" ht="42" customHeight="1">
      <c r="A192" s="2" t="s">
        <v>618</v>
      </c>
      <c r="B192" s="2" t="s">
        <v>619</v>
      </c>
      <c r="C192" s="2" t="s">
        <v>68</v>
      </c>
      <c r="D192" s="2" t="s">
        <v>69</v>
      </c>
      <c r="E192" s="5">
        <v>-29614</v>
      </c>
      <c r="F192" s="3" t="s">
        <v>620</v>
      </c>
      <c r="G192" s="3" t="s">
        <v>20</v>
      </c>
      <c r="H192" s="2" t="s">
        <v>36</v>
      </c>
      <c r="I192" s="2" t="s">
        <v>621</v>
      </c>
      <c r="J192" s="3" t="str">
        <f>HYPERLINK("https://www.boe.es/gazeta/dias/1818/12/01/pdfs/GMD-1818-145.pdf#page=7","Abrir facsímil")</f>
        <v>Abrir facsímil</v>
      </c>
      <c r="K192" s="3" t="s">
        <v>38</v>
      </c>
    </row>
    <row r="193" spans="1:11" ht="42" customHeight="1">
      <c r="A193" s="2" t="s">
        <v>622</v>
      </c>
      <c r="B193" s="2" t="s">
        <v>623</v>
      </c>
      <c r="C193" s="2" t="s">
        <v>26</v>
      </c>
      <c r="D193" s="2" t="s">
        <v>27</v>
      </c>
      <c r="E193" s="5">
        <v>-29939</v>
      </c>
      <c r="F193" s="3" t="s">
        <v>110</v>
      </c>
      <c r="G193" s="3" t="s">
        <v>503</v>
      </c>
      <c r="H193" s="2" t="s">
        <v>36</v>
      </c>
      <c r="I193" s="2" t="s">
        <v>624</v>
      </c>
      <c r="J193" s="3" t="str">
        <f>HYPERLINK("https://www.boe.es/gazeta/dias/1818/01/10/pdfs/GMD-1818-5.pdf#page=10","Abrir facsímil")</f>
        <v>Abrir facsímil</v>
      </c>
      <c r="K193" s="3" t="s">
        <v>38</v>
      </c>
    </row>
    <row r="194" spans="1:11" ht="42" customHeight="1">
      <c r="A194" s="2" t="s">
        <v>625</v>
      </c>
      <c r="B194" s="2" t="s">
        <v>626</v>
      </c>
      <c r="C194" s="2" t="s">
        <v>26</v>
      </c>
      <c r="D194" s="2" t="s">
        <v>27</v>
      </c>
      <c r="E194" s="5">
        <v>-29920</v>
      </c>
      <c r="F194" s="3" t="s">
        <v>201</v>
      </c>
      <c r="G194" s="3" t="s">
        <v>106</v>
      </c>
      <c r="H194" s="2" t="s">
        <v>36</v>
      </c>
      <c r="I194" s="2" t="s">
        <v>627</v>
      </c>
      <c r="J194" s="3" t="str">
        <f>HYPERLINK("https://www.boe.es/gazeta/dias/1818/01/29/pdfs/GMD-1818-13.pdf#page=5","Abrir facsímil")</f>
        <v>Abrir facsímil</v>
      </c>
      <c r="K194" s="3" t="s">
        <v>38</v>
      </c>
    </row>
    <row r="195" spans="1:11" ht="42" customHeight="1">
      <c r="A195" s="2" t="s">
        <v>628</v>
      </c>
      <c r="B195" s="2" t="s">
        <v>629</v>
      </c>
      <c r="C195" s="2" t="s">
        <v>26</v>
      </c>
      <c r="D195" s="2" t="s">
        <v>27</v>
      </c>
      <c r="E195" s="5">
        <v>-29901</v>
      </c>
      <c r="F195" s="3" t="s">
        <v>417</v>
      </c>
      <c r="G195" s="3" t="s">
        <v>20</v>
      </c>
      <c r="H195" s="2" t="s">
        <v>36</v>
      </c>
      <c r="I195" s="2" t="s">
        <v>630</v>
      </c>
      <c r="J195" s="3" t="str">
        <f>HYPERLINK("https://www.boe.es/gazeta/dias/1818/02/17/pdfs/GMD-1818-21.pdf#page=7","Abrir facsímil")</f>
        <v>Abrir facsímil</v>
      </c>
      <c r="K195" s="3" t="s">
        <v>38</v>
      </c>
    </row>
    <row r="196" spans="1:11" ht="42" customHeight="1">
      <c r="A196" s="2" t="s">
        <v>628</v>
      </c>
      <c r="B196" s="2" t="s">
        <v>629</v>
      </c>
      <c r="C196" s="2" t="s">
        <v>26</v>
      </c>
      <c r="D196" s="2" t="s">
        <v>27</v>
      </c>
      <c r="E196" s="5">
        <v>-29901</v>
      </c>
      <c r="F196" s="3" t="s">
        <v>417</v>
      </c>
      <c r="G196" s="3" t="s">
        <v>418</v>
      </c>
      <c r="H196" s="2" t="s">
        <v>36</v>
      </c>
      <c r="I196" s="2" t="s">
        <v>631</v>
      </c>
      <c r="J196" s="3" t="str">
        <f>HYPERLINK("https://www.boe.es/gazeta/dias/1818/02/17/pdfs/GMD-1818-21.pdf#page=9","Abrir facsímil")</f>
        <v>Abrir facsímil</v>
      </c>
      <c r="K196" s="3" t="s">
        <v>38</v>
      </c>
    </row>
    <row r="197" spans="1:11" ht="42" customHeight="1">
      <c r="A197" s="2" t="s">
        <v>632</v>
      </c>
      <c r="B197" s="2" t="s">
        <v>633</v>
      </c>
      <c r="C197" s="2" t="s">
        <v>26</v>
      </c>
      <c r="D197" s="2" t="s">
        <v>27</v>
      </c>
      <c r="E197" s="5">
        <v>-29878</v>
      </c>
      <c r="F197" s="3" t="s">
        <v>353</v>
      </c>
      <c r="G197" s="3" t="s">
        <v>29</v>
      </c>
      <c r="H197" s="2" t="s">
        <v>36</v>
      </c>
      <c r="I197" s="2" t="s">
        <v>634</v>
      </c>
      <c r="J197" s="3" t="str">
        <f>HYPERLINK("https://www.boe.es/gazeta/dias/1818/03/12/pdfs/GMD-1818-31.pdf#page=4","Abrir facsímil")</f>
        <v>Abrir facsímil</v>
      </c>
      <c r="K197" s="3" t="s">
        <v>38</v>
      </c>
    </row>
    <row r="198" spans="1:11" ht="42" customHeight="1">
      <c r="A198" s="2" t="s">
        <v>635</v>
      </c>
      <c r="B198" s="2" t="s">
        <v>636</v>
      </c>
      <c r="C198" s="2" t="s">
        <v>26</v>
      </c>
      <c r="D198" s="2" t="s">
        <v>27</v>
      </c>
      <c r="E198" s="5">
        <v>-29649</v>
      </c>
      <c r="F198" s="3" t="s">
        <v>585</v>
      </c>
      <c r="G198" s="3" t="s">
        <v>106</v>
      </c>
      <c r="H198" s="2" t="s">
        <v>36</v>
      </c>
      <c r="I198" s="2" t="s">
        <v>637</v>
      </c>
      <c r="J198" s="3" t="str">
        <f>HYPERLINK("https://www.boe.es/gazeta/dias/1818/10/27/pdfs/GMD-1818-130.pdf#page=5","Abrir facsímil")</f>
        <v>Abrir facsímil</v>
      </c>
      <c r="K198" s="3" t="s">
        <v>38</v>
      </c>
    </row>
    <row r="199" spans="1:11" ht="42" customHeight="1">
      <c r="A199" s="2" t="s">
        <v>635</v>
      </c>
      <c r="B199" s="2" t="s">
        <v>636</v>
      </c>
      <c r="C199" s="2" t="s">
        <v>26</v>
      </c>
      <c r="D199" s="2" t="s">
        <v>27</v>
      </c>
      <c r="E199" s="5">
        <v>-29598</v>
      </c>
      <c r="F199" s="3" t="s">
        <v>98</v>
      </c>
      <c r="G199" s="3" t="s">
        <v>106</v>
      </c>
      <c r="H199" s="2" t="s">
        <v>36</v>
      </c>
      <c r="I199" s="2" t="s">
        <v>638</v>
      </c>
      <c r="J199" s="3" t="str">
        <f>HYPERLINK("https://www.boe.es/gazeta/dias/1818/12/17/pdfs/GMD-1818-152.pdf#page=5","Abrir facsímil")</f>
        <v>Abrir facsímil</v>
      </c>
      <c r="K199" s="3" t="s">
        <v>38</v>
      </c>
    </row>
    <row r="200" spans="1:11" ht="42" customHeight="1">
      <c r="A200" s="2" t="s">
        <v>639</v>
      </c>
      <c r="B200" s="2" t="s">
        <v>640</v>
      </c>
      <c r="C200" s="2" t="s">
        <v>26</v>
      </c>
      <c r="D200" s="2" t="s">
        <v>27</v>
      </c>
      <c r="E200" s="5">
        <v>-29871</v>
      </c>
      <c r="F200" s="3" t="s">
        <v>641</v>
      </c>
      <c r="G200" s="3" t="s">
        <v>20</v>
      </c>
      <c r="H200" s="2" t="s">
        <v>36</v>
      </c>
      <c r="I200" s="2" t="s">
        <v>642</v>
      </c>
      <c r="J200" s="3" t="str">
        <f>HYPERLINK("https://www.boe.es/gazeta/dias/1818/03/19/pdfs/GMD-1818-34.pdf#page=7","Abrir facsímil")</f>
        <v>Abrir facsímil</v>
      </c>
      <c r="K200" s="3" t="s">
        <v>38</v>
      </c>
    </row>
    <row r="201" spans="1:11" ht="42" customHeight="1">
      <c r="A201" s="2" t="s">
        <v>643</v>
      </c>
      <c r="B201" s="2" t="s">
        <v>644</v>
      </c>
      <c r="C201" s="2" t="s">
        <v>26</v>
      </c>
      <c r="D201" s="2" t="s">
        <v>27</v>
      </c>
      <c r="E201" s="5">
        <v>-29684</v>
      </c>
      <c r="F201" s="3" t="s">
        <v>311</v>
      </c>
      <c r="G201" s="3" t="s">
        <v>45</v>
      </c>
      <c r="H201" s="2" t="s">
        <v>36</v>
      </c>
      <c r="I201" s="2" t="s">
        <v>645</v>
      </c>
      <c r="J201" s="3" t="str">
        <f>HYPERLINK("https://www.boe.es/gazeta/dias/1818/09/22/pdfs/GMD-1818-114.pdf#page=8","Abrir facsímil")</f>
        <v>Abrir facsímil</v>
      </c>
      <c r="K201" s="3" t="s">
        <v>38</v>
      </c>
    </row>
    <row r="202" spans="1:11" ht="42" customHeight="1">
      <c r="A202" s="2" t="s">
        <v>643</v>
      </c>
      <c r="B202" s="2" t="s">
        <v>644</v>
      </c>
      <c r="C202" s="2" t="s">
        <v>97</v>
      </c>
      <c r="D202" s="2" t="s">
        <v>18</v>
      </c>
      <c r="E202" s="5">
        <v>-29628</v>
      </c>
      <c r="F202" s="3" t="s">
        <v>58</v>
      </c>
      <c r="G202" s="3" t="s">
        <v>45</v>
      </c>
      <c r="H202" s="2" t="s">
        <v>36</v>
      </c>
      <c r="I202" s="2" t="s">
        <v>646</v>
      </c>
      <c r="J202" s="3" t="str">
        <f>HYPERLINK("https://www.boe.es/gazeta/dias/1818/11/17/pdfs/GMD-1818-139.pdf#page=8","Abrir facsímil")</f>
        <v>Abrir facsímil</v>
      </c>
      <c r="K202" s="3" t="s">
        <v>38</v>
      </c>
    </row>
    <row r="203" spans="1:11" ht="42" customHeight="1">
      <c r="A203" s="2" t="s">
        <v>643</v>
      </c>
      <c r="B203" s="2" t="s">
        <v>644</v>
      </c>
      <c r="C203" s="2" t="s">
        <v>63</v>
      </c>
      <c r="D203" s="2" t="s">
        <v>18</v>
      </c>
      <c r="E203" s="5">
        <v>-29603</v>
      </c>
      <c r="F203" s="3" t="s">
        <v>647</v>
      </c>
      <c r="G203" s="3" t="s">
        <v>45</v>
      </c>
      <c r="H203" s="2" t="s">
        <v>36</v>
      </c>
      <c r="I203" s="2" t="s">
        <v>648</v>
      </c>
      <c r="J203" s="3" t="str">
        <f>HYPERLINK("https://www.boe.es/gazeta/dias/1818/12/12/pdfs/GMD-1818-150.pdf#page=8","Abrir facsímil")</f>
        <v>Abrir facsímil</v>
      </c>
      <c r="K203" s="3" t="s">
        <v>38</v>
      </c>
    </row>
    <row r="204" spans="1:11" ht="42" customHeight="1">
      <c r="A204" s="2" t="s">
        <v>649</v>
      </c>
      <c r="B204" s="2" t="s">
        <v>650</v>
      </c>
      <c r="C204" s="2" t="s">
        <v>26</v>
      </c>
      <c r="D204" s="2" t="s">
        <v>27</v>
      </c>
      <c r="E204" s="5">
        <v>-29878</v>
      </c>
      <c r="F204" s="3" t="s">
        <v>353</v>
      </c>
      <c r="G204" s="3" t="s">
        <v>29</v>
      </c>
      <c r="H204" s="2" t="s">
        <v>36</v>
      </c>
      <c r="I204" s="2" t="s">
        <v>651</v>
      </c>
      <c r="J204" s="3" t="str">
        <f>HYPERLINK("https://www.boe.es/gazeta/dias/1818/03/12/pdfs/GMD-1818-31.pdf#page=4","Abrir facsímil")</f>
        <v>Abrir facsímil</v>
      </c>
      <c r="K204" s="3" t="s">
        <v>38</v>
      </c>
    </row>
    <row r="205" spans="1:11" ht="42" customHeight="1">
      <c r="A205" s="2" t="s">
        <v>652</v>
      </c>
      <c r="B205" s="2" t="s">
        <v>653</v>
      </c>
      <c r="C205" s="2" t="s">
        <v>26</v>
      </c>
      <c r="D205" s="2" t="s">
        <v>27</v>
      </c>
      <c r="E205" s="5">
        <v>-29876</v>
      </c>
      <c r="F205" s="3" t="s">
        <v>338</v>
      </c>
      <c r="G205" s="3" t="s">
        <v>106</v>
      </c>
      <c r="H205" s="2" t="s">
        <v>36</v>
      </c>
      <c r="I205" s="2" t="s">
        <v>654</v>
      </c>
      <c r="J205" s="3" t="str">
        <f>HYPERLINK("https://www.boe.es/gazeta/dias/1818/03/14/pdfs/GMD-1818-32.pdf#page=5","Abrir facsímil")</f>
        <v>Abrir facsímil</v>
      </c>
      <c r="K205" s="3" t="s">
        <v>38</v>
      </c>
    </row>
    <row r="206" spans="1:11" ht="42" customHeight="1">
      <c r="A206" s="2" t="s">
        <v>655</v>
      </c>
      <c r="B206" s="2" t="s">
        <v>655</v>
      </c>
      <c r="C206" s="2" t="s">
        <v>17</v>
      </c>
      <c r="D206" s="2" t="s">
        <v>18</v>
      </c>
      <c r="E206" s="5">
        <v>-29698</v>
      </c>
      <c r="F206" s="3" t="s">
        <v>148</v>
      </c>
      <c r="G206" s="3" t="s">
        <v>29</v>
      </c>
      <c r="H206" s="2" t="s">
        <v>36</v>
      </c>
      <c r="I206" s="2" t="s">
        <v>656</v>
      </c>
      <c r="J206" s="3" t="str">
        <f>HYPERLINK("https://www.boe.es/gazeta/dias/1818/09/08/pdfs/GMD-1818-108.pdf#page=4","Abrir facsímil")</f>
        <v>Abrir facsímil</v>
      </c>
      <c r="K206" s="3" t="s">
        <v>38</v>
      </c>
    </row>
    <row r="207" spans="1:11" ht="42" customHeight="1">
      <c r="A207" s="2" t="s">
        <v>655</v>
      </c>
      <c r="B207" s="2" t="s">
        <v>655</v>
      </c>
      <c r="C207" s="2" t="s">
        <v>63</v>
      </c>
      <c r="D207" s="2" t="s">
        <v>18</v>
      </c>
      <c r="E207" s="5">
        <v>-29635</v>
      </c>
      <c r="F207" s="3" t="s">
        <v>560</v>
      </c>
      <c r="G207" s="3" t="s">
        <v>45</v>
      </c>
      <c r="H207" s="2" t="s">
        <v>36</v>
      </c>
      <c r="I207" s="2" t="s">
        <v>657</v>
      </c>
      <c r="J207" s="3" t="str">
        <f>HYPERLINK("https://www.boe.es/gazeta/dias/1818/11/10/pdfs/GMD-1818-136.pdf#page=8","Abrir facsímil")</f>
        <v>Abrir facsímil</v>
      </c>
      <c r="K207" s="3" t="s">
        <v>38</v>
      </c>
    </row>
    <row r="208" spans="1:11" ht="42" customHeight="1">
      <c r="A208" s="2" t="s">
        <v>658</v>
      </c>
      <c r="B208" s="2" t="s">
        <v>659</v>
      </c>
      <c r="C208" s="2" t="s">
        <v>26</v>
      </c>
      <c r="D208" s="2" t="s">
        <v>27</v>
      </c>
      <c r="E208" s="5">
        <v>-29876</v>
      </c>
      <c r="F208" s="3" t="s">
        <v>338</v>
      </c>
      <c r="G208" s="3" t="s">
        <v>29</v>
      </c>
      <c r="H208" s="2" t="s">
        <v>36</v>
      </c>
      <c r="I208" s="2" t="s">
        <v>660</v>
      </c>
      <c r="J208" s="3" t="str">
        <f>HYPERLINK("https://www.boe.es/gazeta/dias/1818/03/14/pdfs/GMD-1818-32.pdf#page=4","Abrir facsímil")</f>
        <v>Abrir facsímil</v>
      </c>
      <c r="K208" s="3" t="s">
        <v>38</v>
      </c>
    </row>
    <row r="209" spans="1:11" ht="42" customHeight="1">
      <c r="A209" s="2" t="s">
        <v>661</v>
      </c>
      <c r="B209" s="2" t="s">
        <v>661</v>
      </c>
      <c r="C209" s="2" t="s">
        <v>33</v>
      </c>
      <c r="D209" s="2" t="s">
        <v>18</v>
      </c>
      <c r="E209" s="5">
        <v>-29750</v>
      </c>
      <c r="F209" s="3" t="s">
        <v>384</v>
      </c>
      <c r="G209" s="3" t="s">
        <v>662</v>
      </c>
      <c r="H209" s="2" t="s">
        <v>36</v>
      </c>
      <c r="I209" s="2" t="s">
        <v>663</v>
      </c>
      <c r="J209" s="3" t="str">
        <f>HYPERLINK("https://www.boe.es/gazeta/dias/1818/07/18/pdfs/GMD-1818-86.pdf#page=5","Abrir facsímil")</f>
        <v>Abrir facsímil</v>
      </c>
      <c r="K209" s="3" t="s">
        <v>38</v>
      </c>
    </row>
    <row r="210" spans="1:11" ht="42" customHeight="1">
      <c r="A210" s="2" t="s">
        <v>661</v>
      </c>
      <c r="B210" s="2" t="s">
        <v>661</v>
      </c>
      <c r="C210" s="2" t="s">
        <v>57</v>
      </c>
      <c r="D210" s="2" t="s">
        <v>18</v>
      </c>
      <c r="E210" s="5">
        <v>-29750</v>
      </c>
      <c r="F210" s="3" t="s">
        <v>384</v>
      </c>
      <c r="G210" s="3" t="s">
        <v>59</v>
      </c>
      <c r="H210" s="2" t="s">
        <v>36</v>
      </c>
      <c r="I210" s="2" t="s">
        <v>664</v>
      </c>
      <c r="J210" s="3" t="str">
        <f>HYPERLINK("https://www.boe.es/gazeta/dias/1818/07/18/pdfs/GMD-1818-86.pdf#page=6","Abrir facsímil")</f>
        <v>Abrir facsímil</v>
      </c>
      <c r="K210" s="3" t="s">
        <v>38</v>
      </c>
    </row>
    <row r="211" spans="1:11" ht="42" customHeight="1">
      <c r="A211" s="2" t="s">
        <v>665</v>
      </c>
      <c r="B211" s="2" t="s">
        <v>666</v>
      </c>
      <c r="C211" s="2" t="s">
        <v>57</v>
      </c>
      <c r="D211" s="2" t="s">
        <v>18</v>
      </c>
      <c r="E211" s="5">
        <v>-29799</v>
      </c>
      <c r="F211" s="3" t="s">
        <v>135</v>
      </c>
      <c r="G211" s="3" t="s">
        <v>136</v>
      </c>
      <c r="H211" s="2" t="s">
        <v>36</v>
      </c>
      <c r="I211" s="2" t="s">
        <v>667</v>
      </c>
      <c r="J211" s="3" t="str">
        <f>HYPERLINK("https://www.boe.es/gazeta/dias/1818/05/30/pdfs/GMD-1818-65.pdf#page=5","Abrir facsímil")</f>
        <v>Abrir facsímil</v>
      </c>
      <c r="K211" s="3" t="s">
        <v>38</v>
      </c>
    </row>
    <row r="212" spans="1:11" ht="42" customHeight="1">
      <c r="A212" s="2" t="s">
        <v>665</v>
      </c>
      <c r="B212" s="2" t="s">
        <v>666</v>
      </c>
      <c r="C212" s="2" t="s">
        <v>26</v>
      </c>
      <c r="D212" s="2" t="s">
        <v>668</v>
      </c>
      <c r="E212" s="5">
        <v>-29661</v>
      </c>
      <c r="F212" s="3" t="s">
        <v>669</v>
      </c>
      <c r="G212" s="3" t="s">
        <v>85</v>
      </c>
      <c r="H212" s="2" t="s">
        <v>36</v>
      </c>
      <c r="I212" s="2" t="s">
        <v>670</v>
      </c>
      <c r="J212" s="3" t="str">
        <f>HYPERLINK("https://www.boe.es/gazeta/dias/1818/10/15/pdfs/GMD-1818-125E.pdf#page=3","Abrir facsímil")</f>
        <v>Abrir facsímil</v>
      </c>
      <c r="K212" s="3" t="s">
        <v>38</v>
      </c>
    </row>
    <row r="213" spans="1:11" ht="42" customHeight="1">
      <c r="A213" s="2" t="s">
        <v>671</v>
      </c>
      <c r="B213" s="2" t="s">
        <v>672</v>
      </c>
      <c r="C213" s="2" t="s">
        <v>17</v>
      </c>
      <c r="D213" s="2" t="s">
        <v>18</v>
      </c>
      <c r="E213" s="5">
        <v>-29829</v>
      </c>
      <c r="F213" s="3" t="s">
        <v>44</v>
      </c>
      <c r="G213" s="3" t="s">
        <v>45</v>
      </c>
      <c r="H213" s="2" t="s">
        <v>36</v>
      </c>
      <c r="I213" s="2" t="s">
        <v>673</v>
      </c>
      <c r="J213" s="3" t="str">
        <f>HYPERLINK("https://www.boe.es/gazeta/dias/1818/04/30/pdfs/GMD-1818-52.pdf#page=8","Abrir facsímil")</f>
        <v>Abrir facsímil</v>
      </c>
      <c r="K213" s="3" t="s">
        <v>38</v>
      </c>
    </row>
    <row r="214" spans="1:11" ht="42" customHeight="1">
      <c r="A214" s="2" t="s">
        <v>674</v>
      </c>
      <c r="B214" s="2" t="s">
        <v>675</v>
      </c>
      <c r="C214" s="2" t="s">
        <v>97</v>
      </c>
      <c r="D214" s="2" t="s">
        <v>18</v>
      </c>
      <c r="E214" s="5">
        <v>-29855</v>
      </c>
      <c r="F214" s="3" t="s">
        <v>676</v>
      </c>
      <c r="G214" s="3" t="s">
        <v>45</v>
      </c>
      <c r="H214" s="2" t="s">
        <v>36</v>
      </c>
      <c r="I214" s="2" t="s">
        <v>677</v>
      </c>
      <c r="J214" s="3" t="str">
        <f>HYPERLINK("https://www.boe.es/gazeta/dias/1818/04/04/pdfs/GMD-1818-41.pdf#page=8","Abrir facsímil")</f>
        <v>Abrir facsímil</v>
      </c>
      <c r="K214" s="3" t="s">
        <v>38</v>
      </c>
    </row>
    <row r="215" spans="1:11" ht="42" customHeight="1">
      <c r="A215" s="2" t="s">
        <v>678</v>
      </c>
      <c r="B215" s="2" t="s">
        <v>679</v>
      </c>
      <c r="C215" s="2" t="s">
        <v>97</v>
      </c>
      <c r="D215" s="2" t="s">
        <v>18</v>
      </c>
      <c r="E215" s="5">
        <v>-29705</v>
      </c>
      <c r="F215" s="3" t="s">
        <v>680</v>
      </c>
      <c r="G215" s="3" t="s">
        <v>45</v>
      </c>
      <c r="H215" s="2" t="s">
        <v>36</v>
      </c>
      <c r="I215" s="2" t="s">
        <v>681</v>
      </c>
      <c r="J215" s="3" t="str">
        <f>HYPERLINK("https://www.boe.es/gazeta/dias/1818/09/01/pdfs/GMD-1818-105.pdf#page=8","Abrir facsímil")</f>
        <v>Abrir facsímil</v>
      </c>
      <c r="K215" s="3" t="s">
        <v>38</v>
      </c>
    </row>
    <row r="216" spans="1:11" ht="42" customHeight="1">
      <c r="A216" s="2" t="s">
        <v>682</v>
      </c>
      <c r="B216" s="2" t="s">
        <v>682</v>
      </c>
      <c r="C216" s="2" t="s">
        <v>26</v>
      </c>
      <c r="D216" s="2" t="s">
        <v>27</v>
      </c>
      <c r="E216" s="5">
        <v>-29586</v>
      </c>
      <c r="F216" s="3" t="s">
        <v>683</v>
      </c>
      <c r="G216" s="3" t="s">
        <v>59</v>
      </c>
      <c r="H216" s="2" t="s">
        <v>36</v>
      </c>
      <c r="I216" s="2" t="s">
        <v>684</v>
      </c>
      <c r="J216" s="3" t="str">
        <f>HYPERLINK("https://www.boe.es/gazeta/dias/1818/12/29/pdfs/GMD-1818-158.pdf#page=6","Abrir facsímil")</f>
        <v>Abrir facsímil</v>
      </c>
      <c r="K216" s="3" t="s">
        <v>38</v>
      </c>
    </row>
    <row r="217" spans="1:11" ht="42" customHeight="1">
      <c r="A217" s="2" t="s">
        <v>685</v>
      </c>
      <c r="B217" s="2" t="s">
        <v>685</v>
      </c>
      <c r="C217" s="2" t="s">
        <v>68</v>
      </c>
      <c r="D217" s="2" t="s">
        <v>69</v>
      </c>
      <c r="E217" s="5">
        <v>-29687</v>
      </c>
      <c r="F217" s="3" t="s">
        <v>686</v>
      </c>
      <c r="G217" s="3" t="s">
        <v>45</v>
      </c>
      <c r="H217" s="2" t="s">
        <v>36</v>
      </c>
      <c r="I217" s="2" t="s">
        <v>687</v>
      </c>
      <c r="J217" s="3" t="str">
        <f>HYPERLINK("https://www.boe.es/gazeta/dias/1818/09/19/pdfs/GMD-1818-113.pdf#page=8","Abrir facsímil")</f>
        <v>Abrir facsímil</v>
      </c>
      <c r="K217" s="3" t="s">
        <v>38</v>
      </c>
    </row>
    <row r="218" spans="1:11" ht="42" customHeight="1">
      <c r="A218" s="2" t="s">
        <v>688</v>
      </c>
      <c r="B218" s="2" t="s">
        <v>689</v>
      </c>
      <c r="C218" s="2" t="s">
        <v>57</v>
      </c>
      <c r="D218" s="2" t="s">
        <v>18</v>
      </c>
      <c r="E218" s="5">
        <v>-29801</v>
      </c>
      <c r="F218" s="3" t="s">
        <v>288</v>
      </c>
      <c r="G218" s="3" t="s">
        <v>45</v>
      </c>
      <c r="H218" s="2" t="s">
        <v>36</v>
      </c>
      <c r="I218" s="2" t="s">
        <v>690</v>
      </c>
      <c r="J218" s="3" t="str">
        <f>HYPERLINK("https://www.boe.es/gazeta/dias/1818/05/28/pdfs/GMD-1818-64.pdf#page=8","Abrir facsímil")</f>
        <v>Abrir facsímil</v>
      </c>
      <c r="K218" s="3" t="s">
        <v>38</v>
      </c>
    </row>
    <row r="219" spans="1:11" ht="42" customHeight="1">
      <c r="A219" s="2" t="s">
        <v>691</v>
      </c>
      <c r="B219" s="2" t="s">
        <v>691</v>
      </c>
      <c r="C219" s="2" t="s">
        <v>17</v>
      </c>
      <c r="D219" s="2" t="s">
        <v>18</v>
      </c>
      <c r="E219" s="5">
        <v>-29694</v>
      </c>
      <c r="F219" s="3" t="s">
        <v>528</v>
      </c>
      <c r="G219" s="3" t="s">
        <v>20</v>
      </c>
      <c r="H219" s="2" t="s">
        <v>36</v>
      </c>
      <c r="I219" s="2" t="s">
        <v>692</v>
      </c>
      <c r="J219" s="3" t="str">
        <f>HYPERLINK("https://www.boe.es/gazeta/dias/1818/09/12/pdfs/GMD-1818-110.pdf#page=7","Abrir facsímil")</f>
        <v>Abrir facsímil</v>
      </c>
      <c r="K219" s="3" t="s">
        <v>38</v>
      </c>
    </row>
    <row r="220" spans="1:11" ht="42" customHeight="1">
      <c r="A220" s="2" t="s">
        <v>693</v>
      </c>
      <c r="B220" s="2" t="s">
        <v>694</v>
      </c>
      <c r="C220" s="2" t="s">
        <v>68</v>
      </c>
      <c r="D220" s="2" t="s">
        <v>69</v>
      </c>
      <c r="E220" s="5">
        <v>-29908</v>
      </c>
      <c r="F220" s="3" t="s">
        <v>695</v>
      </c>
      <c r="G220" s="3" t="s">
        <v>45</v>
      </c>
      <c r="H220" s="2" t="s">
        <v>36</v>
      </c>
      <c r="I220" s="2" t="s">
        <v>696</v>
      </c>
      <c r="J220" s="3" t="str">
        <f>HYPERLINK("https://www.boe.es/gazeta/dias/1818/02/10/pdfs/GMD-1818-18.pdf#page=8","Abrir facsímil")</f>
        <v>Abrir facsímil</v>
      </c>
      <c r="K220" s="3" t="s">
        <v>38</v>
      </c>
    </row>
    <row r="221" spans="1:11" ht="42" customHeight="1">
      <c r="A221" s="2" t="s">
        <v>693</v>
      </c>
      <c r="B221" s="2" t="s">
        <v>694</v>
      </c>
      <c r="C221" s="2" t="s">
        <v>97</v>
      </c>
      <c r="D221" s="2" t="s">
        <v>18</v>
      </c>
      <c r="E221" s="5">
        <v>-29600</v>
      </c>
      <c r="F221" s="3" t="s">
        <v>697</v>
      </c>
      <c r="G221" s="3" t="s">
        <v>45</v>
      </c>
      <c r="H221" s="2" t="s">
        <v>36</v>
      </c>
      <c r="I221" s="2" t="s">
        <v>698</v>
      </c>
      <c r="J221" s="3" t="str">
        <f>HYPERLINK("https://www.boe.es/gazeta/dias/1818/12/15/pdfs/GMD-1818-151.pdf#page=8","Abrir facsímil")</f>
        <v>Abrir facsímil</v>
      </c>
      <c r="K221" s="3" t="s">
        <v>38</v>
      </c>
    </row>
    <row r="222" spans="1:11" ht="42" customHeight="1">
      <c r="A222" s="2" t="s">
        <v>699</v>
      </c>
      <c r="B222" s="2" t="s">
        <v>700</v>
      </c>
      <c r="C222" s="2" t="s">
        <v>215</v>
      </c>
      <c r="D222" s="2" t="s">
        <v>18</v>
      </c>
      <c r="E222" s="5">
        <v>-29766</v>
      </c>
      <c r="F222" s="3" t="s">
        <v>276</v>
      </c>
      <c r="G222" s="3" t="s">
        <v>45</v>
      </c>
      <c r="H222" s="2" t="s">
        <v>36</v>
      </c>
      <c r="I222" s="2" t="s">
        <v>701</v>
      </c>
      <c r="J222" s="3" t="str">
        <f>HYPERLINK("https://www.boe.es/gazeta/dias/1818/07/02/pdfs/GMD-1818-79.pdf#page=8","Abrir facsímil")</f>
        <v>Abrir facsímil</v>
      </c>
      <c r="K222" s="3" t="s">
        <v>38</v>
      </c>
    </row>
    <row r="223" spans="1:11" ht="42" customHeight="1">
      <c r="A223" s="2" t="s">
        <v>702</v>
      </c>
      <c r="B223" s="2" t="s">
        <v>703</v>
      </c>
      <c r="C223" s="2" t="s">
        <v>63</v>
      </c>
      <c r="D223" s="2" t="s">
        <v>18</v>
      </c>
      <c r="E223" s="5">
        <v>-29607</v>
      </c>
      <c r="F223" s="3" t="s">
        <v>704</v>
      </c>
      <c r="G223" s="3" t="s">
        <v>20</v>
      </c>
      <c r="H223" s="2" t="s">
        <v>36</v>
      </c>
      <c r="I223" s="2" t="s">
        <v>705</v>
      </c>
      <c r="J223" s="3" t="str">
        <f>HYPERLINK("https://www.boe.es/gazeta/dias/1818/12/08/pdfs/GMD-1818-148.pdf#page=7","Abrir facsímil")</f>
        <v>Abrir facsímil</v>
      </c>
      <c r="K223" s="3" t="s">
        <v>38</v>
      </c>
    </row>
    <row r="224" spans="1:11" ht="42" customHeight="1">
      <c r="A224" s="2" t="s">
        <v>706</v>
      </c>
      <c r="B224" s="2" t="s">
        <v>707</v>
      </c>
      <c r="C224" s="2" t="s">
        <v>68</v>
      </c>
      <c r="D224" s="2" t="s">
        <v>69</v>
      </c>
      <c r="E224" s="5">
        <v>-29834</v>
      </c>
      <c r="F224" s="3" t="s">
        <v>457</v>
      </c>
      <c r="G224" s="3" t="s">
        <v>458</v>
      </c>
      <c r="H224" s="2" t="s">
        <v>36</v>
      </c>
      <c r="I224" s="2" t="s">
        <v>708</v>
      </c>
      <c r="J224" s="3" t="str">
        <f>HYPERLINK("https://www.boe.es/gazeta/dias/1818/04/25/pdfs/GMD-1818-50.pdf#page=8","Abrir facsímil")</f>
        <v>Abrir facsímil</v>
      </c>
      <c r="K224" s="3" t="s">
        <v>38</v>
      </c>
    </row>
    <row r="225" spans="1:11" ht="42" customHeight="1">
      <c r="A225" s="2" t="s">
        <v>709</v>
      </c>
      <c r="B225" s="2" t="s">
        <v>710</v>
      </c>
      <c r="C225" s="2" t="s">
        <v>68</v>
      </c>
      <c r="D225" s="2" t="s">
        <v>69</v>
      </c>
      <c r="E225" s="5">
        <v>-29929</v>
      </c>
      <c r="F225" s="3" t="s">
        <v>204</v>
      </c>
      <c r="G225" s="3" t="s">
        <v>45</v>
      </c>
      <c r="H225" s="2" t="s">
        <v>36</v>
      </c>
      <c r="I225" s="2" t="s">
        <v>711</v>
      </c>
      <c r="J225" s="3" t="str">
        <f>HYPERLINK("https://www.boe.es/gazeta/dias/1818/01/20/pdfs/GMD-1818-9.pdf#page=8","Abrir facsímil")</f>
        <v>Abrir facsímil</v>
      </c>
      <c r="K225" s="3" t="s">
        <v>38</v>
      </c>
    </row>
    <row r="226" spans="1:11" ht="42" customHeight="1">
      <c r="A226" s="2" t="s">
        <v>712</v>
      </c>
      <c r="B226" s="2" t="s">
        <v>713</v>
      </c>
      <c r="C226" s="2" t="s">
        <v>68</v>
      </c>
      <c r="D226" s="2" t="s">
        <v>69</v>
      </c>
      <c r="E226" s="5">
        <v>-29899</v>
      </c>
      <c r="F226" s="3" t="s">
        <v>232</v>
      </c>
      <c r="G226" s="3" t="s">
        <v>20</v>
      </c>
      <c r="H226" s="2" t="s">
        <v>36</v>
      </c>
      <c r="I226" s="2" t="s">
        <v>714</v>
      </c>
      <c r="J226" s="3" t="str">
        <f>HYPERLINK("https://www.boe.es/gazeta/dias/1818/02/19/pdfs/GMD-1818-22.pdf#page=7","Abrir facsímil")</f>
        <v>Abrir facsímil</v>
      </c>
      <c r="K226" s="3" t="s">
        <v>38</v>
      </c>
    </row>
    <row r="227" spans="1:11" ht="42" customHeight="1">
      <c r="A227" s="2" t="s">
        <v>712</v>
      </c>
      <c r="B227" s="2" t="s">
        <v>713</v>
      </c>
      <c r="C227" s="2" t="s">
        <v>68</v>
      </c>
      <c r="D227" s="2" t="s">
        <v>69</v>
      </c>
      <c r="E227" s="5">
        <v>-29834</v>
      </c>
      <c r="F227" s="3" t="s">
        <v>457</v>
      </c>
      <c r="G227" s="3" t="s">
        <v>458</v>
      </c>
      <c r="H227" s="2" t="s">
        <v>36</v>
      </c>
      <c r="I227" s="2" t="s">
        <v>715</v>
      </c>
      <c r="J227" s="3" t="str">
        <f>HYPERLINK("https://www.boe.es/gazeta/dias/1818/04/25/pdfs/GMD-1818-50.pdf#page=8","Abrir facsímil")</f>
        <v>Abrir facsímil</v>
      </c>
      <c r="K227" s="3" t="s">
        <v>38</v>
      </c>
    </row>
    <row r="228" spans="1:11" ht="42" customHeight="1">
      <c r="A228" s="2" t="s">
        <v>716</v>
      </c>
      <c r="B228" s="2" t="s">
        <v>717</v>
      </c>
      <c r="C228" s="2" t="s">
        <v>33</v>
      </c>
      <c r="D228" s="2" t="s">
        <v>18</v>
      </c>
      <c r="E228" s="5">
        <v>-29780</v>
      </c>
      <c r="F228" s="3" t="s">
        <v>461</v>
      </c>
      <c r="G228" s="3" t="s">
        <v>45</v>
      </c>
      <c r="H228" s="2" t="s">
        <v>36</v>
      </c>
      <c r="I228" s="2" t="s">
        <v>718</v>
      </c>
      <c r="J228" s="3" t="str">
        <f>HYPERLINK("https://www.boe.es/gazeta/dias/1818/06/18/pdfs/GMD-1818-73.pdf#page=8","Abrir facsímil")</f>
        <v>Abrir facsímil</v>
      </c>
      <c r="K228" s="3" t="s">
        <v>38</v>
      </c>
    </row>
    <row r="229" spans="1:11" ht="42" customHeight="1">
      <c r="A229" s="2" t="s">
        <v>719</v>
      </c>
      <c r="B229" s="2" t="s">
        <v>720</v>
      </c>
      <c r="C229" s="2" t="s">
        <v>26</v>
      </c>
      <c r="D229" s="2" t="s">
        <v>27</v>
      </c>
      <c r="E229" s="5">
        <v>-29619</v>
      </c>
      <c r="F229" s="3" t="s">
        <v>64</v>
      </c>
      <c r="G229" s="3" t="s">
        <v>721</v>
      </c>
      <c r="H229" s="2" t="s">
        <v>36</v>
      </c>
      <c r="I229" s="2" t="s">
        <v>722</v>
      </c>
      <c r="J229" s="3" t="str">
        <f>HYPERLINK("https://www.boe.es/gazeta/dias/1818/11/26/pdfs/GMD-1818-143.pdf#page=5","Abrir facsímil")</f>
        <v>Abrir facsímil</v>
      </c>
      <c r="K229" s="3" t="s">
        <v>38</v>
      </c>
    </row>
    <row r="230" spans="1:11" ht="42" customHeight="1">
      <c r="A230" s="2" t="s">
        <v>723</v>
      </c>
      <c r="B230" s="2" t="s">
        <v>723</v>
      </c>
      <c r="C230" s="2" t="s">
        <v>26</v>
      </c>
      <c r="D230" s="2" t="s">
        <v>27</v>
      </c>
      <c r="E230" s="5">
        <v>-29946</v>
      </c>
      <c r="F230" s="3" t="s">
        <v>724</v>
      </c>
      <c r="G230" s="3" t="s">
        <v>45</v>
      </c>
      <c r="H230" s="2" t="s">
        <v>36</v>
      </c>
      <c r="I230" s="2" t="s">
        <v>725</v>
      </c>
      <c r="J230" s="3" t="str">
        <f>HYPERLINK("https://www.boe.es/gazeta/dias/1818/01/03/pdfs/GMD-1818-2.pdf#page=8","Abrir facsímil")</f>
        <v>Abrir facsímil</v>
      </c>
      <c r="K230" s="3" t="s">
        <v>38</v>
      </c>
    </row>
    <row r="231" spans="1:11" ht="42" customHeight="1">
      <c r="A231" s="2" t="s">
        <v>726</v>
      </c>
      <c r="B231" s="2" t="s">
        <v>727</v>
      </c>
      <c r="C231" s="2" t="s">
        <v>17</v>
      </c>
      <c r="D231" s="2" t="s">
        <v>18</v>
      </c>
      <c r="E231" s="5">
        <v>-29829</v>
      </c>
      <c r="F231" s="3" t="s">
        <v>44</v>
      </c>
      <c r="G231" s="3" t="s">
        <v>45</v>
      </c>
      <c r="H231" s="2" t="s">
        <v>36</v>
      </c>
      <c r="I231" s="2" t="s">
        <v>728</v>
      </c>
      <c r="J231" s="3" t="str">
        <f>HYPERLINK("https://www.boe.es/gazeta/dias/1818/04/30/pdfs/GMD-1818-52.pdf#page=8","Abrir facsímil")</f>
        <v>Abrir facsímil</v>
      </c>
      <c r="K231" s="3" t="s">
        <v>38</v>
      </c>
    </row>
    <row r="232" spans="1:11" ht="42" customHeight="1">
      <c r="A232" s="2" t="s">
        <v>729</v>
      </c>
      <c r="B232" s="2" t="s">
        <v>729</v>
      </c>
      <c r="C232" s="2" t="s">
        <v>68</v>
      </c>
      <c r="D232" s="2" t="s">
        <v>69</v>
      </c>
      <c r="E232" s="5">
        <v>-29834</v>
      </c>
      <c r="F232" s="3" t="s">
        <v>457</v>
      </c>
      <c r="G232" s="3" t="s">
        <v>458</v>
      </c>
      <c r="H232" s="2" t="s">
        <v>36</v>
      </c>
      <c r="I232" s="2" t="s">
        <v>730</v>
      </c>
      <c r="J232" s="3" t="str">
        <f>HYPERLINK("https://www.boe.es/gazeta/dias/1818/04/25/pdfs/GMD-1818-50.pdf#page=8","Abrir facsímil")</f>
        <v>Abrir facsímil</v>
      </c>
      <c r="K232" s="3" t="s">
        <v>38</v>
      </c>
    </row>
    <row r="233" spans="1:11" ht="42" customHeight="1">
      <c r="A233" s="2" t="s">
        <v>729</v>
      </c>
      <c r="B233" s="2" t="s">
        <v>729</v>
      </c>
      <c r="C233" s="2" t="s">
        <v>26</v>
      </c>
      <c r="D233" s="2" t="s">
        <v>27</v>
      </c>
      <c r="E233" s="5">
        <v>-29754</v>
      </c>
      <c r="F233" s="3" t="s">
        <v>466</v>
      </c>
      <c r="G233" s="3" t="s">
        <v>106</v>
      </c>
      <c r="H233" s="2" t="s">
        <v>36</v>
      </c>
      <c r="I233" s="2" t="s">
        <v>731</v>
      </c>
      <c r="J233" s="3" t="str">
        <f>HYPERLINK("https://www.boe.es/gazeta/dias/1818/07/14/pdfs/GMD-1818-84.pdf#page=5","Abrir facsímil")</f>
        <v>Abrir facsímil</v>
      </c>
      <c r="K233" s="3" t="s">
        <v>38</v>
      </c>
    </row>
    <row r="234" spans="1:11" ht="42" customHeight="1">
      <c r="A234" s="2" t="s">
        <v>729</v>
      </c>
      <c r="B234" s="2" t="s">
        <v>729</v>
      </c>
      <c r="C234" s="2" t="s">
        <v>33</v>
      </c>
      <c r="D234" s="2" t="s">
        <v>18</v>
      </c>
      <c r="E234" s="5">
        <v>-29754</v>
      </c>
      <c r="F234" s="3" t="s">
        <v>466</v>
      </c>
      <c r="G234" s="3" t="s">
        <v>45</v>
      </c>
      <c r="H234" s="2" t="s">
        <v>36</v>
      </c>
      <c r="I234" s="2" t="s">
        <v>732</v>
      </c>
      <c r="J234" s="3" t="str">
        <f>HYPERLINK("https://www.boe.es/gazeta/dias/1818/07/14/pdfs/GMD-1818-84.pdf#page=8","Abrir facsímil")</f>
        <v>Abrir facsímil</v>
      </c>
      <c r="K234" s="3" t="s">
        <v>38</v>
      </c>
    </row>
    <row r="235" spans="1:11" ht="42" customHeight="1">
      <c r="A235" s="2" t="s">
        <v>729</v>
      </c>
      <c r="B235" s="2" t="s">
        <v>729</v>
      </c>
      <c r="C235" s="2" t="s">
        <v>26</v>
      </c>
      <c r="D235" s="2" t="s">
        <v>27</v>
      </c>
      <c r="E235" s="5">
        <v>-29750</v>
      </c>
      <c r="F235" s="3" t="s">
        <v>384</v>
      </c>
      <c r="G235" s="3" t="s">
        <v>59</v>
      </c>
      <c r="H235" s="2" t="s">
        <v>36</v>
      </c>
      <c r="I235" s="2" t="s">
        <v>733</v>
      </c>
      <c r="J235" s="3" t="str">
        <f>HYPERLINK("https://www.boe.es/gazeta/dias/1818/07/18/pdfs/GMD-1818-86.pdf#page=6","Abrir facsímil")</f>
        <v>Abrir facsímil</v>
      </c>
      <c r="K235" s="3" t="s">
        <v>38</v>
      </c>
    </row>
    <row r="236" spans="1:11" ht="42" customHeight="1">
      <c r="A236" s="2" t="s">
        <v>729</v>
      </c>
      <c r="B236" s="2" t="s">
        <v>729</v>
      </c>
      <c r="C236" s="2" t="s">
        <v>26</v>
      </c>
      <c r="D236" s="2" t="s">
        <v>27</v>
      </c>
      <c r="E236" s="5">
        <v>-29743</v>
      </c>
      <c r="F236" s="3" t="s">
        <v>734</v>
      </c>
      <c r="G236" s="3" t="s">
        <v>29</v>
      </c>
      <c r="H236" s="2" t="s">
        <v>36</v>
      </c>
      <c r="I236" s="2" t="s">
        <v>735</v>
      </c>
      <c r="J236" s="3" t="str">
        <f>HYPERLINK("https://www.boe.es/gazeta/dias/1818/07/25/pdfs/GMD-1818-89.pdf#page=4","Abrir facsímil")</f>
        <v>Abrir facsímil</v>
      </c>
      <c r="K236" s="3" t="s">
        <v>38</v>
      </c>
    </row>
    <row r="237" spans="1:11" ht="42" customHeight="1">
      <c r="A237" s="2" t="s">
        <v>729</v>
      </c>
      <c r="B237" s="2" t="s">
        <v>729</v>
      </c>
      <c r="C237" s="2" t="s">
        <v>26</v>
      </c>
      <c r="D237" s="2" t="s">
        <v>27</v>
      </c>
      <c r="E237" s="5">
        <v>-29726</v>
      </c>
      <c r="F237" s="3" t="s">
        <v>70</v>
      </c>
      <c r="G237" s="3" t="s">
        <v>736</v>
      </c>
      <c r="H237" s="2" t="s">
        <v>36</v>
      </c>
      <c r="I237" s="2" t="s">
        <v>737</v>
      </c>
      <c r="J237" s="3" t="str">
        <f>HYPERLINK("https://www.boe.es/gazeta/dias/1818/08/11/pdfs/GMD-1818-96.pdf#page=14","Abrir facsímil")</f>
        <v>Abrir facsímil</v>
      </c>
      <c r="K237" s="3" t="s">
        <v>38</v>
      </c>
    </row>
    <row r="238" spans="1:11" ht="42" customHeight="1">
      <c r="A238" s="2" t="s">
        <v>729</v>
      </c>
      <c r="B238" s="2" t="s">
        <v>729</v>
      </c>
      <c r="C238" s="2" t="s">
        <v>26</v>
      </c>
      <c r="D238" s="2" t="s">
        <v>27</v>
      </c>
      <c r="E238" s="5">
        <v>-29703</v>
      </c>
      <c r="F238" s="3" t="s">
        <v>294</v>
      </c>
      <c r="G238" s="3" t="s">
        <v>295</v>
      </c>
      <c r="H238" s="2" t="s">
        <v>36</v>
      </c>
      <c r="I238" s="2" t="s">
        <v>738</v>
      </c>
      <c r="J238" s="3" t="str">
        <f>HYPERLINK("https://www.boe.es/gazeta/dias/1818/09/03/pdfs/GMD-1818-106.pdf#page=5","Abrir facsímil")</f>
        <v>Abrir facsímil</v>
      </c>
      <c r="K238" s="3" t="s">
        <v>38</v>
      </c>
    </row>
    <row r="239" spans="1:11" ht="42" customHeight="1">
      <c r="A239" s="2" t="s">
        <v>729</v>
      </c>
      <c r="B239" s="2" t="s">
        <v>729</v>
      </c>
      <c r="C239" s="2" t="s">
        <v>17</v>
      </c>
      <c r="D239" s="2" t="s">
        <v>18</v>
      </c>
      <c r="E239" s="5">
        <v>-29670</v>
      </c>
      <c r="F239" s="3" t="s">
        <v>48</v>
      </c>
      <c r="G239" s="3" t="s">
        <v>45</v>
      </c>
      <c r="H239" s="2" t="s">
        <v>36</v>
      </c>
      <c r="I239" s="2" t="s">
        <v>739</v>
      </c>
      <c r="J239" s="3" t="str">
        <f>HYPERLINK("https://www.boe.es/gazeta/dias/1818/10/06/pdfs/GMD-1818-120.pdf#page=8","Abrir facsímil")</f>
        <v>Abrir facsímil</v>
      </c>
      <c r="K239" s="3" t="s">
        <v>38</v>
      </c>
    </row>
    <row r="240" spans="1:11" ht="42" customHeight="1">
      <c r="A240" s="2" t="s">
        <v>729</v>
      </c>
      <c r="B240" s="2" t="s">
        <v>729</v>
      </c>
      <c r="C240" s="2" t="s">
        <v>26</v>
      </c>
      <c r="D240" s="2" t="s">
        <v>27</v>
      </c>
      <c r="E240" s="5">
        <v>-29654</v>
      </c>
      <c r="F240" s="3" t="s">
        <v>219</v>
      </c>
      <c r="G240" s="3" t="s">
        <v>20</v>
      </c>
      <c r="H240" s="2" t="s">
        <v>36</v>
      </c>
      <c r="I240" s="2" t="s">
        <v>740</v>
      </c>
      <c r="J240" s="3" t="str">
        <f>HYPERLINK("https://www.boe.es/gazeta/dias/1818/10/22/pdfs/GMD-1818-128.pdf#page=7","Abrir facsímil")</f>
        <v>Abrir facsímil</v>
      </c>
      <c r="K240" s="3" t="s">
        <v>38</v>
      </c>
    </row>
    <row r="241" spans="1:11" ht="42" customHeight="1">
      <c r="A241" s="2" t="s">
        <v>729</v>
      </c>
      <c r="B241" s="2" t="s">
        <v>729</v>
      </c>
      <c r="C241" s="2" t="s">
        <v>26</v>
      </c>
      <c r="D241" s="2" t="s">
        <v>27</v>
      </c>
      <c r="E241" s="5">
        <v>-29652</v>
      </c>
      <c r="F241" s="3" t="s">
        <v>741</v>
      </c>
      <c r="G241" s="3" t="s">
        <v>29</v>
      </c>
      <c r="H241" s="2" t="s">
        <v>36</v>
      </c>
      <c r="I241" s="2" t="s">
        <v>742</v>
      </c>
      <c r="J241" s="3" t="str">
        <f>HYPERLINK("https://www.boe.es/gazeta/dias/1818/10/24/pdfs/GMD-1818-129.pdf#page=4","Abrir facsímil")</f>
        <v>Abrir facsímil</v>
      </c>
      <c r="K241" s="3" t="s">
        <v>38</v>
      </c>
    </row>
    <row r="242" spans="1:11" ht="42" customHeight="1">
      <c r="A242" s="2" t="s">
        <v>729</v>
      </c>
      <c r="B242" s="2" t="s">
        <v>729</v>
      </c>
      <c r="C242" s="2" t="s">
        <v>17</v>
      </c>
      <c r="D242" s="2" t="s">
        <v>18</v>
      </c>
      <c r="E242" s="5">
        <v>-29631</v>
      </c>
      <c r="F242" s="3" t="s">
        <v>743</v>
      </c>
      <c r="G242" s="3" t="s">
        <v>59</v>
      </c>
      <c r="H242" s="2" t="s">
        <v>36</v>
      </c>
      <c r="I242" s="2" t="s">
        <v>744</v>
      </c>
      <c r="J242" s="3" t="str">
        <f>HYPERLINK("https://www.boe.es/gazeta/dias/1818/11/14/pdfs/GMD-1818-138.pdf#page=6","Abrir facsímil")</f>
        <v>Abrir facsímil</v>
      </c>
      <c r="K242" s="3" t="s">
        <v>38</v>
      </c>
    </row>
    <row r="243" spans="1:11" ht="42" customHeight="1">
      <c r="A243" s="2" t="s">
        <v>729</v>
      </c>
      <c r="B243" s="2" t="s">
        <v>729</v>
      </c>
      <c r="C243" s="2" t="s">
        <v>17</v>
      </c>
      <c r="D243" s="2" t="s">
        <v>18</v>
      </c>
      <c r="E243" s="5">
        <v>-29586</v>
      </c>
      <c r="F243" s="3" t="s">
        <v>683</v>
      </c>
      <c r="G243" s="3" t="s">
        <v>20</v>
      </c>
      <c r="H243" s="2" t="s">
        <v>36</v>
      </c>
      <c r="I243" s="2" t="s">
        <v>745</v>
      </c>
      <c r="J243" s="3" t="str">
        <f>HYPERLINK("https://www.boe.es/gazeta/dias/1818/12/29/pdfs/GMD-1818-158.pdf#page=7","Abrir facsímil")</f>
        <v>Abrir facsímil</v>
      </c>
      <c r="K243" s="3" t="s">
        <v>38</v>
      </c>
    </row>
    <row r="244" spans="1:11" ht="42" customHeight="1">
      <c r="A244" s="2" t="s">
        <v>746</v>
      </c>
      <c r="B244" s="2" t="s">
        <v>747</v>
      </c>
      <c r="C244" s="2" t="s">
        <v>26</v>
      </c>
      <c r="D244" s="2" t="s">
        <v>27</v>
      </c>
      <c r="E244" s="5">
        <v>-29743</v>
      </c>
      <c r="F244" s="3" t="s">
        <v>734</v>
      </c>
      <c r="G244" s="3" t="s">
        <v>29</v>
      </c>
      <c r="H244" s="2" t="s">
        <v>36</v>
      </c>
      <c r="I244" s="2" t="s">
        <v>748</v>
      </c>
      <c r="J244" s="3" t="str">
        <f>HYPERLINK("https://www.boe.es/gazeta/dias/1818/07/25/pdfs/GMD-1818-89.pdf#page=4","Abrir facsímil")</f>
        <v>Abrir facsímil</v>
      </c>
      <c r="K244" s="3" t="s">
        <v>38</v>
      </c>
    </row>
    <row r="245" spans="1:11" ht="42" customHeight="1">
      <c r="A245" s="2" t="s">
        <v>749</v>
      </c>
      <c r="B245" s="2" t="s">
        <v>750</v>
      </c>
      <c r="C245" s="2" t="s">
        <v>26</v>
      </c>
      <c r="D245" s="2" t="s">
        <v>27</v>
      </c>
      <c r="E245" s="5">
        <v>-29899</v>
      </c>
      <c r="F245" s="3" t="s">
        <v>232</v>
      </c>
      <c r="G245" s="3" t="s">
        <v>45</v>
      </c>
      <c r="H245" s="2" t="s">
        <v>36</v>
      </c>
      <c r="I245" s="2" t="s">
        <v>751</v>
      </c>
      <c r="J245" s="3" t="str">
        <f>HYPERLINK("https://www.boe.es/gazeta/dias/1818/02/19/pdfs/GMD-1818-22.pdf#page=8","Abrir facsímil")</f>
        <v>Abrir facsímil</v>
      </c>
      <c r="K245" s="3" t="s">
        <v>38</v>
      </c>
    </row>
    <row r="246" spans="1:11" ht="42" customHeight="1">
      <c r="A246" s="2" t="s">
        <v>752</v>
      </c>
      <c r="B246" s="2" t="s">
        <v>753</v>
      </c>
      <c r="C246" s="2" t="s">
        <v>26</v>
      </c>
      <c r="D246" s="2" t="s">
        <v>27</v>
      </c>
      <c r="E246" s="5">
        <v>-29817</v>
      </c>
      <c r="F246" s="3" t="s">
        <v>284</v>
      </c>
      <c r="G246" s="3" t="s">
        <v>45</v>
      </c>
      <c r="H246" s="2" t="s">
        <v>36</v>
      </c>
      <c r="I246" s="2" t="s">
        <v>754</v>
      </c>
      <c r="J246" s="3" t="str">
        <f>HYPERLINK("https://www.boe.es/gazeta/dias/1818/05/12/pdfs/GMD-1818-57.pdf#page=8","Abrir facsímil")</f>
        <v>Abrir facsímil</v>
      </c>
      <c r="K246" s="3" t="s">
        <v>38</v>
      </c>
    </row>
    <row r="247" spans="1:11" ht="42" customHeight="1">
      <c r="A247" s="2" t="s">
        <v>755</v>
      </c>
      <c r="B247" s="2" t="s">
        <v>756</v>
      </c>
      <c r="C247" s="2" t="s">
        <v>63</v>
      </c>
      <c r="D247" s="2" t="s">
        <v>668</v>
      </c>
      <c r="E247" s="5">
        <v>-29661</v>
      </c>
      <c r="F247" s="3" t="s">
        <v>669</v>
      </c>
      <c r="G247" s="3" t="s">
        <v>49</v>
      </c>
      <c r="H247" s="2" t="s">
        <v>36</v>
      </c>
      <c r="I247" s="2" t="s">
        <v>757</v>
      </c>
      <c r="J247" s="3" t="str">
        <f>HYPERLINK("https://www.boe.es/gazeta/dias/1818/10/15/pdfs/GMD-1818-125E.pdf#page=1","Abrir facsímil")</f>
        <v>Abrir facsímil</v>
      </c>
      <c r="K247" s="3" t="s">
        <v>38</v>
      </c>
    </row>
    <row r="248" spans="1:11" ht="42" customHeight="1">
      <c r="A248" s="2" t="s">
        <v>755</v>
      </c>
      <c r="B248" s="2" t="s">
        <v>756</v>
      </c>
      <c r="C248" s="2" t="s">
        <v>26</v>
      </c>
      <c r="D248" s="2" t="s">
        <v>668</v>
      </c>
      <c r="E248" s="5">
        <v>-29661</v>
      </c>
      <c r="F248" s="3" t="s">
        <v>669</v>
      </c>
      <c r="G248" s="3" t="s">
        <v>120</v>
      </c>
      <c r="H248" s="2" t="s">
        <v>36</v>
      </c>
      <c r="I248" s="2" t="s">
        <v>758</v>
      </c>
      <c r="J248" s="3" t="str">
        <f>HYPERLINK("https://www.boe.es/gazeta/dias/1818/10/15/pdfs/GMD-1818-125E.pdf#page=2","Abrir facsímil")</f>
        <v>Abrir facsímil</v>
      </c>
      <c r="K248" s="3" t="s">
        <v>38</v>
      </c>
    </row>
    <row r="249" spans="1:11" ht="42" customHeight="1">
      <c r="A249" s="2" t="s">
        <v>755</v>
      </c>
      <c r="B249" s="2" t="s">
        <v>756</v>
      </c>
      <c r="C249" s="2" t="s">
        <v>17</v>
      </c>
      <c r="D249" s="2" t="s">
        <v>668</v>
      </c>
      <c r="E249" s="5">
        <v>-29661</v>
      </c>
      <c r="F249" s="3" t="s">
        <v>669</v>
      </c>
      <c r="G249" s="3" t="s">
        <v>85</v>
      </c>
      <c r="H249" s="2" t="s">
        <v>36</v>
      </c>
      <c r="I249" s="2" t="s">
        <v>759</v>
      </c>
      <c r="J249" s="3" t="str">
        <f>HYPERLINK("https://www.boe.es/gazeta/dias/1818/10/15/pdfs/GMD-1818-125E.pdf#page=3","Abrir facsímil")</f>
        <v>Abrir facsímil</v>
      </c>
      <c r="K249" s="3" t="s">
        <v>38</v>
      </c>
    </row>
    <row r="250" spans="1:11" ht="42" customHeight="1">
      <c r="A250" s="2" t="s">
        <v>760</v>
      </c>
      <c r="B250" s="2" t="s">
        <v>761</v>
      </c>
      <c r="C250" s="2" t="s">
        <v>17</v>
      </c>
      <c r="D250" s="2" t="s">
        <v>18</v>
      </c>
      <c r="E250" s="5">
        <v>-29698</v>
      </c>
      <c r="F250" s="3" t="s">
        <v>148</v>
      </c>
      <c r="G250" s="3" t="s">
        <v>29</v>
      </c>
      <c r="H250" s="2" t="s">
        <v>36</v>
      </c>
      <c r="I250" s="2" t="s">
        <v>762</v>
      </c>
      <c r="J250" s="3" t="str">
        <f>HYPERLINK("https://www.boe.es/gazeta/dias/1818/09/08/pdfs/GMD-1818-108.pdf#page=4","Abrir facsímil")</f>
        <v>Abrir facsímil</v>
      </c>
      <c r="K250" s="3" t="s">
        <v>38</v>
      </c>
    </row>
    <row r="251" spans="1:11" ht="42" customHeight="1">
      <c r="A251" s="2" t="s">
        <v>763</v>
      </c>
      <c r="B251" s="2" t="s">
        <v>764</v>
      </c>
      <c r="C251" s="2" t="s">
        <v>26</v>
      </c>
      <c r="D251" s="2" t="s">
        <v>27</v>
      </c>
      <c r="E251" s="5">
        <v>-29904</v>
      </c>
      <c r="F251" s="3" t="s">
        <v>451</v>
      </c>
      <c r="G251" s="3" t="s">
        <v>20</v>
      </c>
      <c r="H251" s="2" t="s">
        <v>36</v>
      </c>
      <c r="I251" s="2" t="s">
        <v>765</v>
      </c>
      <c r="J251" s="3" t="str">
        <f>HYPERLINK("https://www.boe.es/gazeta/dias/1818/02/14/pdfs/GMD-1818-20.pdf#page=7","Abrir facsímil")</f>
        <v>Abrir facsímil</v>
      </c>
      <c r="K251" s="3" t="s">
        <v>38</v>
      </c>
    </row>
    <row r="252" spans="1:11" ht="42" customHeight="1">
      <c r="A252" s="2" t="s">
        <v>763</v>
      </c>
      <c r="B252" s="2" t="s">
        <v>764</v>
      </c>
      <c r="C252" s="2" t="s">
        <v>68</v>
      </c>
      <c r="D252" s="2" t="s">
        <v>69</v>
      </c>
      <c r="E252" s="5">
        <v>-29715</v>
      </c>
      <c r="F252" s="3" t="s">
        <v>208</v>
      </c>
      <c r="G252" s="3" t="s">
        <v>45</v>
      </c>
      <c r="H252" s="2" t="s">
        <v>36</v>
      </c>
      <c r="I252" s="2" t="s">
        <v>766</v>
      </c>
      <c r="J252" s="3" t="str">
        <f>HYPERLINK("https://www.boe.es/gazeta/dias/1818/08/22/pdfs/GMD-1818-101.pdf#page=8","Abrir facsímil")</f>
        <v>Abrir facsímil</v>
      </c>
      <c r="K252" s="3" t="s">
        <v>38</v>
      </c>
    </row>
    <row r="253" spans="1:11" ht="42" customHeight="1">
      <c r="A253" s="2" t="s">
        <v>763</v>
      </c>
      <c r="B253" s="2" t="s">
        <v>764</v>
      </c>
      <c r="C253" s="2" t="s">
        <v>26</v>
      </c>
      <c r="D253" s="2" t="s">
        <v>27</v>
      </c>
      <c r="E253" s="5">
        <v>-29654</v>
      </c>
      <c r="F253" s="3" t="s">
        <v>219</v>
      </c>
      <c r="G253" s="3" t="s">
        <v>29</v>
      </c>
      <c r="H253" s="2" t="s">
        <v>36</v>
      </c>
      <c r="I253" s="2" t="s">
        <v>767</v>
      </c>
      <c r="J253" s="3" t="str">
        <f>HYPERLINK("https://www.boe.es/gazeta/dias/1818/10/22/pdfs/GMD-1818-128.pdf#page=4","Abrir facsímil")</f>
        <v>Abrir facsímil</v>
      </c>
      <c r="K253" s="3" t="s">
        <v>38</v>
      </c>
    </row>
    <row r="254" spans="1:11" ht="42" customHeight="1">
      <c r="A254" s="2" t="s">
        <v>768</v>
      </c>
      <c r="B254" s="2" t="s">
        <v>769</v>
      </c>
      <c r="C254" s="2" t="s">
        <v>68</v>
      </c>
      <c r="D254" s="2" t="s">
        <v>69</v>
      </c>
      <c r="E254" s="5">
        <v>-29684</v>
      </c>
      <c r="F254" s="3" t="s">
        <v>311</v>
      </c>
      <c r="G254" s="3" t="s">
        <v>45</v>
      </c>
      <c r="H254" s="2" t="s">
        <v>36</v>
      </c>
      <c r="I254" s="2" t="s">
        <v>770</v>
      </c>
      <c r="J254" s="3" t="str">
        <f>HYPERLINK("https://www.boe.es/gazeta/dias/1818/09/22/pdfs/GMD-1818-114.pdf#page=8","Abrir facsímil")</f>
        <v>Abrir facsímil</v>
      </c>
      <c r="K254" s="3" t="s">
        <v>38</v>
      </c>
    </row>
    <row r="255" spans="1:11" ht="42" customHeight="1">
      <c r="A255" s="2" t="s">
        <v>771</v>
      </c>
      <c r="B255" s="2" t="s">
        <v>771</v>
      </c>
      <c r="C255" s="2" t="s">
        <v>26</v>
      </c>
      <c r="D255" s="2" t="s">
        <v>27</v>
      </c>
      <c r="E255" s="5">
        <v>-29719</v>
      </c>
      <c r="F255" s="3" t="s">
        <v>243</v>
      </c>
      <c r="G255" s="3" t="s">
        <v>772</v>
      </c>
      <c r="H255" s="2" t="s">
        <v>36</v>
      </c>
      <c r="I255" s="2" t="s">
        <v>773</v>
      </c>
      <c r="J255" s="3" t="str">
        <f>HYPERLINK("https://www.boe.es/gazeta/dias/1818/08/18/pdfs/GMD-1818-99.pdf#page=10","Abrir facsímil")</f>
        <v>Abrir facsímil</v>
      </c>
      <c r="K255" s="3" t="s">
        <v>38</v>
      </c>
    </row>
    <row r="256" spans="1:11" ht="42" customHeight="1">
      <c r="A256" s="2" t="s">
        <v>774</v>
      </c>
      <c r="B256" s="2" t="s">
        <v>774</v>
      </c>
      <c r="C256" s="2" t="s">
        <v>26</v>
      </c>
      <c r="D256" s="2" t="s">
        <v>27</v>
      </c>
      <c r="E256" s="5">
        <v>-29666</v>
      </c>
      <c r="F256" s="3" t="s">
        <v>258</v>
      </c>
      <c r="G256" s="3" t="s">
        <v>59</v>
      </c>
      <c r="H256" s="2" t="s">
        <v>36</v>
      </c>
      <c r="I256" s="2" t="s">
        <v>775</v>
      </c>
      <c r="J256" s="3" t="str">
        <f>HYPERLINK("https://www.boe.es/gazeta/dias/1818/10/10/pdfs/GMD-1818-122.pdf#page=6","Abrir facsímil")</f>
        <v>Abrir facsímil</v>
      </c>
      <c r="K256" s="3" t="s">
        <v>38</v>
      </c>
    </row>
    <row r="257" spans="1:11" ht="42" customHeight="1">
      <c r="A257" s="2" t="s">
        <v>776</v>
      </c>
      <c r="B257" s="2" t="s">
        <v>776</v>
      </c>
      <c r="C257" s="2" t="s">
        <v>17</v>
      </c>
      <c r="D257" s="2" t="s">
        <v>18</v>
      </c>
      <c r="E257" s="5">
        <v>-29745</v>
      </c>
      <c r="F257" s="3" t="s">
        <v>409</v>
      </c>
      <c r="G257" s="3" t="s">
        <v>20</v>
      </c>
      <c r="H257" s="2" t="s">
        <v>36</v>
      </c>
      <c r="I257" s="2" t="s">
        <v>777</v>
      </c>
      <c r="J257" s="3" t="str">
        <f>HYPERLINK("https://www.boe.es/gazeta/dias/1818/07/23/pdfs/GMD-1818-88.pdf#page=7","Abrir facsímil")</f>
        <v>Abrir facsímil</v>
      </c>
      <c r="K257" s="3" t="s">
        <v>38</v>
      </c>
    </row>
    <row r="258" spans="1:11" ht="42" customHeight="1">
      <c r="A258" s="2" t="s">
        <v>778</v>
      </c>
      <c r="B258" s="2" t="s">
        <v>778</v>
      </c>
      <c r="C258" s="2" t="s">
        <v>33</v>
      </c>
      <c r="D258" s="2" t="s">
        <v>18</v>
      </c>
      <c r="E258" s="5">
        <v>-29750</v>
      </c>
      <c r="F258" s="3" t="s">
        <v>384</v>
      </c>
      <c r="G258" s="3" t="s">
        <v>116</v>
      </c>
      <c r="H258" s="2" t="s">
        <v>36</v>
      </c>
      <c r="I258" s="2" t="s">
        <v>779</v>
      </c>
      <c r="J258" s="3" t="str">
        <f>HYPERLINK("https://www.boe.es/gazeta/dias/1818/07/18/pdfs/GMD-1818-86.pdf#page=12","Abrir facsímil")</f>
        <v>Abrir facsímil</v>
      </c>
      <c r="K258" s="3" t="s">
        <v>38</v>
      </c>
    </row>
    <row r="259" spans="1:11" ht="42" customHeight="1">
      <c r="A259" s="2" t="s">
        <v>780</v>
      </c>
      <c r="B259" s="2" t="s">
        <v>781</v>
      </c>
      <c r="C259" s="2" t="s">
        <v>68</v>
      </c>
      <c r="D259" s="2" t="s">
        <v>69</v>
      </c>
      <c r="E259" s="5">
        <v>-29656</v>
      </c>
      <c r="F259" s="3" t="s">
        <v>601</v>
      </c>
      <c r="G259" s="3" t="s">
        <v>20</v>
      </c>
      <c r="H259" s="2" t="s">
        <v>36</v>
      </c>
      <c r="I259" s="2" t="s">
        <v>782</v>
      </c>
      <c r="J259" s="3" t="str">
        <f>HYPERLINK("https://www.boe.es/gazeta/dias/1818/10/20/pdfs/GMD-1818-127.pdf#page=7","Abrir facsímil")</f>
        <v>Abrir facsímil</v>
      </c>
      <c r="K259" s="3" t="s">
        <v>38</v>
      </c>
    </row>
    <row r="260" spans="1:11" ht="42" customHeight="1">
      <c r="A260" s="2" t="s">
        <v>783</v>
      </c>
      <c r="B260" s="2" t="s">
        <v>784</v>
      </c>
      <c r="C260" s="2" t="s">
        <v>17</v>
      </c>
      <c r="D260" s="2" t="s">
        <v>18</v>
      </c>
      <c r="E260" s="5">
        <v>-29624</v>
      </c>
      <c r="F260" s="3" t="s">
        <v>131</v>
      </c>
      <c r="G260" s="3" t="s">
        <v>20</v>
      </c>
      <c r="H260" s="2" t="s">
        <v>36</v>
      </c>
      <c r="I260" s="2" t="s">
        <v>785</v>
      </c>
      <c r="J260" s="3" t="str">
        <f>HYPERLINK("https://www.boe.es/gazeta/dias/1818/11/21/pdfs/GMD-1818-141.pdf#page=7","Abrir facsímil")</f>
        <v>Abrir facsímil</v>
      </c>
      <c r="K260" s="3" t="s">
        <v>38</v>
      </c>
    </row>
    <row r="261" spans="1:11" ht="42" customHeight="1">
      <c r="A261" s="2" t="s">
        <v>786</v>
      </c>
      <c r="B261" s="2" t="s">
        <v>786</v>
      </c>
      <c r="C261" s="2" t="s">
        <v>26</v>
      </c>
      <c r="D261" s="2" t="s">
        <v>27</v>
      </c>
      <c r="E261" s="5">
        <v>-29831</v>
      </c>
      <c r="F261" s="3" t="s">
        <v>567</v>
      </c>
      <c r="G261" s="3" t="s">
        <v>20</v>
      </c>
      <c r="H261" s="2" t="s">
        <v>36</v>
      </c>
      <c r="I261" s="2" t="s">
        <v>787</v>
      </c>
      <c r="J261" s="3" t="str">
        <f>HYPERLINK("https://www.boe.es/gazeta/dias/1818/04/28/pdfs/GMD-1818-51.pdf#page=7","Abrir facsímil")</f>
        <v>Abrir facsímil</v>
      </c>
      <c r="K261" s="3" t="s">
        <v>38</v>
      </c>
    </row>
    <row r="262" spans="1:11" ht="42" customHeight="1">
      <c r="A262" s="2" t="s">
        <v>788</v>
      </c>
      <c r="B262" s="2" t="s">
        <v>789</v>
      </c>
      <c r="C262" s="2" t="s">
        <v>26</v>
      </c>
      <c r="D262" s="2" t="s">
        <v>27</v>
      </c>
      <c r="E262" s="5">
        <v>-29869</v>
      </c>
      <c r="F262" s="3" t="s">
        <v>140</v>
      </c>
      <c r="G262" s="3" t="s">
        <v>29</v>
      </c>
      <c r="H262" s="2" t="s">
        <v>36</v>
      </c>
      <c r="I262" s="2" t="s">
        <v>790</v>
      </c>
      <c r="J262" s="3" t="str">
        <f>HYPERLINK("https://www.boe.es/gazeta/dias/1818/03/21/pdfs/GMD-1818-35.pdf#page=4","Abrir facsímil")</f>
        <v>Abrir facsímil</v>
      </c>
      <c r="K262" s="3" t="s">
        <v>38</v>
      </c>
    </row>
    <row r="263" spans="1:11" ht="42" customHeight="1">
      <c r="A263" s="2" t="s">
        <v>791</v>
      </c>
      <c r="B263" s="2" t="s">
        <v>792</v>
      </c>
      <c r="C263" s="2" t="s">
        <v>26</v>
      </c>
      <c r="D263" s="2" t="s">
        <v>27</v>
      </c>
      <c r="E263" s="5">
        <v>-29920</v>
      </c>
      <c r="F263" s="3" t="s">
        <v>201</v>
      </c>
      <c r="G263" s="3" t="s">
        <v>71</v>
      </c>
      <c r="H263" s="2" t="s">
        <v>36</v>
      </c>
      <c r="I263" s="2" t="s">
        <v>793</v>
      </c>
      <c r="J263" s="3" t="str">
        <f>HYPERLINK("https://www.boe.es/gazeta/dias/1818/01/29/pdfs/GMD-1818-13.pdf#page=16","Abrir facsímil")</f>
        <v>Abrir facsímil</v>
      </c>
      <c r="K263" s="3" t="s">
        <v>38</v>
      </c>
    </row>
    <row r="264" spans="1:11" ht="42" customHeight="1">
      <c r="A264" s="2" t="s">
        <v>791</v>
      </c>
      <c r="B264" s="2" t="s">
        <v>792</v>
      </c>
      <c r="C264" s="2" t="s">
        <v>26</v>
      </c>
      <c r="D264" s="2" t="s">
        <v>27</v>
      </c>
      <c r="E264" s="5">
        <v>-29841</v>
      </c>
      <c r="F264" s="3" t="s">
        <v>19</v>
      </c>
      <c r="G264" s="3" t="s">
        <v>45</v>
      </c>
      <c r="H264" s="2" t="s">
        <v>36</v>
      </c>
      <c r="I264" s="2" t="s">
        <v>794</v>
      </c>
      <c r="J264" s="3" t="str">
        <f>HYPERLINK("https://www.boe.es/gazeta/dias/1818/04/18/pdfs/GMD-1818-47.pdf#page=8","Abrir facsímil")</f>
        <v>Abrir facsímil</v>
      </c>
      <c r="K264" s="3" t="s">
        <v>38</v>
      </c>
    </row>
    <row r="265" spans="1:11" ht="42" customHeight="1">
      <c r="A265" s="2" t="s">
        <v>795</v>
      </c>
      <c r="B265" s="2" t="s">
        <v>796</v>
      </c>
      <c r="C265" s="2" t="s">
        <v>68</v>
      </c>
      <c r="D265" s="2" t="s">
        <v>69</v>
      </c>
      <c r="E265" s="5">
        <v>-29915</v>
      </c>
      <c r="F265" s="3" t="s">
        <v>429</v>
      </c>
      <c r="G265" s="3" t="s">
        <v>45</v>
      </c>
      <c r="H265" s="2" t="s">
        <v>36</v>
      </c>
      <c r="I265" s="2" t="s">
        <v>797</v>
      </c>
      <c r="J265" s="3" t="str">
        <f>HYPERLINK("https://www.boe.es/gazeta/dias/1818/02/03/pdfs/GMD-1818-15.pdf#page=8","Abrir facsímil")</f>
        <v>Abrir facsímil</v>
      </c>
      <c r="K265" s="3" t="s">
        <v>38</v>
      </c>
    </row>
    <row r="266" spans="1:11" ht="42" customHeight="1">
      <c r="A266" s="2" t="s">
        <v>798</v>
      </c>
      <c r="B266" s="2" t="s">
        <v>799</v>
      </c>
      <c r="C266" s="2" t="s">
        <v>26</v>
      </c>
      <c r="D266" s="2" t="s">
        <v>27</v>
      </c>
      <c r="E266" s="5">
        <v>-29691</v>
      </c>
      <c r="F266" s="3" t="s">
        <v>144</v>
      </c>
      <c r="G266" s="3" t="s">
        <v>59</v>
      </c>
      <c r="H266" s="2" t="s">
        <v>36</v>
      </c>
      <c r="I266" s="2" t="s">
        <v>800</v>
      </c>
      <c r="J266" s="3" t="str">
        <f>HYPERLINK("https://www.boe.es/gazeta/dias/1818/09/15/pdfs/GMD-1818-111.pdf#page=6","Abrir facsímil")</f>
        <v>Abrir facsímil</v>
      </c>
      <c r="K266" s="3" t="s">
        <v>38</v>
      </c>
    </row>
    <row r="267" spans="1:11" ht="42" customHeight="1">
      <c r="A267" s="2" t="s">
        <v>801</v>
      </c>
      <c r="B267" s="2" t="s">
        <v>802</v>
      </c>
      <c r="C267" s="2" t="s">
        <v>26</v>
      </c>
      <c r="D267" s="2" t="s">
        <v>27</v>
      </c>
      <c r="E267" s="5">
        <v>-29906</v>
      </c>
      <c r="F267" s="3" t="s">
        <v>28</v>
      </c>
      <c r="G267" s="3" t="s">
        <v>59</v>
      </c>
      <c r="H267" s="2" t="s">
        <v>36</v>
      </c>
      <c r="I267" s="2" t="s">
        <v>803</v>
      </c>
      <c r="J267" s="3" t="str">
        <f>HYPERLINK("https://www.boe.es/gazeta/dias/1818/02/12/pdfs/GMD-1818-19.pdf#page=6","Abrir facsímil")</f>
        <v>Abrir facsímil</v>
      </c>
      <c r="K267" s="3" t="s">
        <v>38</v>
      </c>
    </row>
    <row r="268" spans="1:11" ht="42" customHeight="1">
      <c r="A268" s="2" t="s">
        <v>804</v>
      </c>
      <c r="B268" s="2" t="s">
        <v>805</v>
      </c>
      <c r="C268" s="2" t="s">
        <v>26</v>
      </c>
      <c r="D268" s="2" t="s">
        <v>27</v>
      </c>
      <c r="E268" s="5">
        <v>-29946</v>
      </c>
      <c r="F268" s="3" t="s">
        <v>724</v>
      </c>
      <c r="G268" s="3" t="s">
        <v>59</v>
      </c>
      <c r="H268" s="2" t="s">
        <v>36</v>
      </c>
      <c r="I268" s="2" t="s">
        <v>806</v>
      </c>
      <c r="J268" s="3" t="str">
        <f>HYPERLINK("https://www.boe.es/gazeta/dias/1818/01/03/pdfs/GMD-1818-2.pdf#page=6","Abrir facsímil")</f>
        <v>Abrir facsímil</v>
      </c>
      <c r="K268" s="3" t="s">
        <v>38</v>
      </c>
    </row>
    <row r="269" spans="1:11" ht="42" customHeight="1">
      <c r="A269" s="2" t="s">
        <v>804</v>
      </c>
      <c r="B269" s="2" t="s">
        <v>805</v>
      </c>
      <c r="C269" s="2" t="s">
        <v>26</v>
      </c>
      <c r="D269" s="2" t="s">
        <v>27</v>
      </c>
      <c r="E269" s="5">
        <v>-29593</v>
      </c>
      <c r="F269" s="3" t="s">
        <v>185</v>
      </c>
      <c r="G269" s="3" t="s">
        <v>186</v>
      </c>
      <c r="H269" s="2" t="s">
        <v>36</v>
      </c>
      <c r="I269" s="2" t="s">
        <v>807</v>
      </c>
      <c r="J269" s="3" t="str">
        <f>HYPERLINK("https://www.boe.es/gazeta/dias/1818/12/22/pdfs/GMD-1818-154.pdf#page=5","Abrir facsímil")</f>
        <v>Abrir facsímil</v>
      </c>
      <c r="K269" s="3" t="s">
        <v>38</v>
      </c>
    </row>
    <row r="270" spans="1:11" ht="42" customHeight="1">
      <c r="A270" s="2" t="s">
        <v>808</v>
      </c>
      <c r="B270" s="2" t="s">
        <v>809</v>
      </c>
      <c r="C270" s="2" t="s">
        <v>17</v>
      </c>
      <c r="D270" s="2" t="s">
        <v>18</v>
      </c>
      <c r="E270" s="5">
        <v>-29948</v>
      </c>
      <c r="F270" s="3" t="s">
        <v>199</v>
      </c>
      <c r="G270" s="3" t="s">
        <v>106</v>
      </c>
      <c r="H270" s="2" t="s">
        <v>36</v>
      </c>
      <c r="I270" s="2" t="s">
        <v>810</v>
      </c>
      <c r="J270" s="3" t="str">
        <f>HYPERLINK("https://www.boe.es/gazeta/dias/1818/01/01/pdfs/GMD-1818-1.pdf#page=5","Abrir facsímil")</f>
        <v>Abrir facsímil</v>
      </c>
      <c r="K270" s="3" t="s">
        <v>38</v>
      </c>
    </row>
    <row r="271" spans="1:11" ht="42" customHeight="1">
      <c r="A271" s="2" t="s">
        <v>808</v>
      </c>
      <c r="B271" s="2" t="s">
        <v>809</v>
      </c>
      <c r="C271" s="2" t="s">
        <v>26</v>
      </c>
      <c r="D271" s="2" t="s">
        <v>27</v>
      </c>
      <c r="E271" s="5">
        <v>-29929</v>
      </c>
      <c r="F271" s="3" t="s">
        <v>204</v>
      </c>
      <c r="G271" s="3" t="s">
        <v>29</v>
      </c>
      <c r="H271" s="2" t="s">
        <v>36</v>
      </c>
      <c r="I271" s="2" t="s">
        <v>811</v>
      </c>
      <c r="J271" s="3" t="str">
        <f>HYPERLINK("https://www.boe.es/gazeta/dias/1818/01/20/pdfs/GMD-1818-9.pdf#page=4","Abrir facsímil")</f>
        <v>Abrir facsímil</v>
      </c>
      <c r="K271" s="3" t="s">
        <v>38</v>
      </c>
    </row>
    <row r="272" spans="1:11" ht="42" customHeight="1">
      <c r="A272" s="2" t="s">
        <v>808</v>
      </c>
      <c r="B272" s="2" t="s">
        <v>809</v>
      </c>
      <c r="C272" s="2" t="s">
        <v>26</v>
      </c>
      <c r="D272" s="2" t="s">
        <v>27</v>
      </c>
      <c r="E272" s="5">
        <v>-29922</v>
      </c>
      <c r="F272" s="3" t="s">
        <v>174</v>
      </c>
      <c r="G272" s="3" t="s">
        <v>812</v>
      </c>
      <c r="H272" s="2" t="s">
        <v>36</v>
      </c>
      <c r="I272" s="2" t="s">
        <v>813</v>
      </c>
      <c r="J272" s="3" t="str">
        <f>HYPERLINK("https://www.boe.es/gazeta/dias/1818/01/27/pdfs/GMD-1818-12.pdf#page=4","Abrir facsímil")</f>
        <v>Abrir facsímil</v>
      </c>
      <c r="K272" s="3" t="s">
        <v>38</v>
      </c>
    </row>
    <row r="273" spans="1:11" ht="42" customHeight="1">
      <c r="A273" s="2" t="s">
        <v>808</v>
      </c>
      <c r="B273" s="2" t="s">
        <v>809</v>
      </c>
      <c r="C273" s="2" t="s">
        <v>26</v>
      </c>
      <c r="D273" s="2" t="s">
        <v>27</v>
      </c>
      <c r="E273" s="5">
        <v>-29922</v>
      </c>
      <c r="F273" s="3" t="s">
        <v>174</v>
      </c>
      <c r="G273" s="3" t="s">
        <v>175</v>
      </c>
      <c r="H273" s="2" t="s">
        <v>36</v>
      </c>
      <c r="I273" s="2" t="s">
        <v>814</v>
      </c>
      <c r="J273" s="3" t="str">
        <f>HYPERLINK("https://www.boe.es/gazeta/dias/1818/01/27/pdfs/GMD-1818-12.pdf#page=5","Abrir facsímil")</f>
        <v>Abrir facsímil</v>
      </c>
      <c r="K273" s="3" t="s">
        <v>38</v>
      </c>
    </row>
    <row r="274" spans="1:11" ht="42" customHeight="1">
      <c r="A274" s="2" t="s">
        <v>808</v>
      </c>
      <c r="B274" s="2" t="s">
        <v>809</v>
      </c>
      <c r="C274" s="2" t="s">
        <v>26</v>
      </c>
      <c r="D274" s="2" t="s">
        <v>27</v>
      </c>
      <c r="E274" s="5">
        <v>-29915</v>
      </c>
      <c r="F274" s="3" t="s">
        <v>429</v>
      </c>
      <c r="G274" s="3" t="s">
        <v>815</v>
      </c>
      <c r="H274" s="2" t="s">
        <v>36</v>
      </c>
      <c r="I274" s="2" t="s">
        <v>816</v>
      </c>
      <c r="J274" s="3" t="str">
        <f>HYPERLINK("https://www.boe.es/gazeta/dias/1818/02/03/pdfs/GMD-1818-15.pdf#page=5","Abrir facsímil")</f>
        <v>Abrir facsímil</v>
      </c>
      <c r="K274" s="3" t="s">
        <v>38</v>
      </c>
    </row>
    <row r="275" spans="1:11" ht="42" customHeight="1">
      <c r="A275" s="2" t="s">
        <v>808</v>
      </c>
      <c r="B275" s="2" t="s">
        <v>809</v>
      </c>
      <c r="C275" s="2" t="s">
        <v>26</v>
      </c>
      <c r="D275" s="2" t="s">
        <v>27</v>
      </c>
      <c r="E275" s="5">
        <v>-29913</v>
      </c>
      <c r="F275" s="3" t="s">
        <v>449</v>
      </c>
      <c r="G275" s="3" t="s">
        <v>85</v>
      </c>
      <c r="H275" s="2" t="s">
        <v>36</v>
      </c>
      <c r="I275" s="2" t="s">
        <v>817</v>
      </c>
      <c r="J275" s="3" t="str">
        <f>HYPERLINK("https://www.boe.es/gazeta/dias/1818/02/05/pdfs/GMD-1818-16.pdf#page=3","Abrir facsímil")</f>
        <v>Abrir facsímil</v>
      </c>
      <c r="K275" s="3" t="s">
        <v>38</v>
      </c>
    </row>
    <row r="276" spans="1:11" ht="42" customHeight="1">
      <c r="A276" s="2" t="s">
        <v>808</v>
      </c>
      <c r="B276" s="2" t="s">
        <v>809</v>
      </c>
      <c r="C276" s="2" t="s">
        <v>26</v>
      </c>
      <c r="D276" s="2" t="s">
        <v>27</v>
      </c>
      <c r="E276" s="5">
        <v>-29901</v>
      </c>
      <c r="F276" s="3" t="s">
        <v>417</v>
      </c>
      <c r="G276" s="3" t="s">
        <v>20</v>
      </c>
      <c r="H276" s="2" t="s">
        <v>36</v>
      </c>
      <c r="I276" s="2" t="s">
        <v>818</v>
      </c>
      <c r="J276" s="3" t="str">
        <f>HYPERLINK("https://www.boe.es/gazeta/dias/1818/02/17/pdfs/GMD-1818-21.pdf#page=7","Abrir facsímil")</f>
        <v>Abrir facsímil</v>
      </c>
      <c r="K276" s="3" t="s">
        <v>38</v>
      </c>
    </row>
    <row r="277" spans="1:11" ht="42" customHeight="1">
      <c r="A277" s="2" t="s">
        <v>808</v>
      </c>
      <c r="B277" s="2" t="s">
        <v>809</v>
      </c>
      <c r="C277" s="2" t="s">
        <v>26</v>
      </c>
      <c r="D277" s="2" t="s">
        <v>27</v>
      </c>
      <c r="E277" s="5">
        <v>-29897</v>
      </c>
      <c r="F277" s="3" t="s">
        <v>318</v>
      </c>
      <c r="G277" s="3" t="s">
        <v>85</v>
      </c>
      <c r="H277" s="2" t="s">
        <v>36</v>
      </c>
      <c r="I277" s="2" t="s">
        <v>819</v>
      </c>
      <c r="J277" s="3" t="str">
        <f>HYPERLINK("https://www.boe.es/gazeta/dias/1818/02/21/pdfs/GMD-1818-23.pdf#page=3","Abrir facsímil")</f>
        <v>Abrir facsímil</v>
      </c>
      <c r="K277" s="3" t="s">
        <v>38</v>
      </c>
    </row>
    <row r="278" spans="1:11" ht="42" customHeight="1">
      <c r="A278" s="2" t="s">
        <v>808</v>
      </c>
      <c r="B278" s="2" t="s">
        <v>809</v>
      </c>
      <c r="C278" s="2" t="s">
        <v>26</v>
      </c>
      <c r="D278" s="2" t="s">
        <v>27</v>
      </c>
      <c r="E278" s="5">
        <v>-29894</v>
      </c>
      <c r="F278" s="3" t="s">
        <v>820</v>
      </c>
      <c r="G278" s="3" t="s">
        <v>106</v>
      </c>
      <c r="H278" s="2" t="s">
        <v>36</v>
      </c>
      <c r="I278" s="2" t="s">
        <v>821</v>
      </c>
      <c r="J278" s="3" t="str">
        <f>HYPERLINK("https://www.boe.es/gazeta/dias/1818/02/24/pdfs/GMD-1818-24.pdf#page=5","Abrir facsímil")</f>
        <v>Abrir facsímil</v>
      </c>
      <c r="K278" s="3" t="s">
        <v>38</v>
      </c>
    </row>
    <row r="279" spans="1:11" ht="42" customHeight="1">
      <c r="A279" s="2" t="s">
        <v>808</v>
      </c>
      <c r="B279" s="2" t="s">
        <v>809</v>
      </c>
      <c r="C279" s="2" t="s">
        <v>17</v>
      </c>
      <c r="D279" s="2" t="s">
        <v>18</v>
      </c>
      <c r="E279" s="5">
        <v>-29887</v>
      </c>
      <c r="F279" s="3" t="s">
        <v>613</v>
      </c>
      <c r="G279" s="3" t="s">
        <v>29</v>
      </c>
      <c r="H279" s="2" t="s">
        <v>36</v>
      </c>
      <c r="I279" s="2" t="s">
        <v>822</v>
      </c>
      <c r="J279" s="3" t="str">
        <f>HYPERLINK("https://www.boe.es/gazeta/dias/1818/03/03/pdfs/GMD-1818-27.pdf#page=4","Abrir facsímil")</f>
        <v>Abrir facsímil</v>
      </c>
      <c r="K279" s="3" t="s">
        <v>38</v>
      </c>
    </row>
    <row r="280" spans="1:11" ht="42" customHeight="1">
      <c r="A280" s="2" t="s">
        <v>808</v>
      </c>
      <c r="B280" s="2" t="s">
        <v>809</v>
      </c>
      <c r="C280" s="2" t="s">
        <v>26</v>
      </c>
      <c r="D280" s="2" t="s">
        <v>27</v>
      </c>
      <c r="E280" s="5">
        <v>-29883</v>
      </c>
      <c r="F280" s="3" t="s">
        <v>823</v>
      </c>
      <c r="G280" s="3" t="s">
        <v>824</v>
      </c>
      <c r="H280" s="2" t="s">
        <v>36</v>
      </c>
      <c r="I280" s="2" t="s">
        <v>825</v>
      </c>
      <c r="J280" s="3" t="str">
        <f>HYPERLINK("https://www.boe.es/gazeta/dias/1818/03/07/pdfs/GMD-1818-29.pdf#page=4","Abrir facsímil")</f>
        <v>Abrir facsímil</v>
      </c>
      <c r="K280" s="3" t="s">
        <v>38</v>
      </c>
    </row>
    <row r="281" spans="1:11" ht="42" customHeight="1">
      <c r="A281" s="2" t="s">
        <v>808</v>
      </c>
      <c r="B281" s="2" t="s">
        <v>809</v>
      </c>
      <c r="C281" s="2" t="s">
        <v>26</v>
      </c>
      <c r="D281" s="2" t="s">
        <v>27</v>
      </c>
      <c r="E281" s="5">
        <v>-29883</v>
      </c>
      <c r="F281" s="3" t="s">
        <v>823</v>
      </c>
      <c r="G281" s="3" t="s">
        <v>106</v>
      </c>
      <c r="H281" s="2" t="s">
        <v>36</v>
      </c>
      <c r="I281" s="2" t="s">
        <v>826</v>
      </c>
      <c r="J281" s="3" t="str">
        <f>HYPERLINK("https://www.boe.es/gazeta/dias/1818/03/07/pdfs/GMD-1818-29.pdf#page=5","Abrir facsímil")</f>
        <v>Abrir facsímil</v>
      </c>
      <c r="K281" s="3" t="s">
        <v>38</v>
      </c>
    </row>
    <row r="282" spans="1:11" ht="42" customHeight="1">
      <c r="A282" s="2" t="s">
        <v>808</v>
      </c>
      <c r="B282" s="2" t="s">
        <v>809</v>
      </c>
      <c r="C282" s="2" t="s">
        <v>26</v>
      </c>
      <c r="D282" s="2" t="s">
        <v>27</v>
      </c>
      <c r="E282" s="5">
        <v>-29878</v>
      </c>
      <c r="F282" s="3" t="s">
        <v>353</v>
      </c>
      <c r="G282" s="3" t="s">
        <v>29</v>
      </c>
      <c r="H282" s="2" t="s">
        <v>36</v>
      </c>
      <c r="I282" s="2" t="s">
        <v>827</v>
      </c>
      <c r="J282" s="3" t="str">
        <f>HYPERLINK("https://www.boe.es/gazeta/dias/1818/03/12/pdfs/GMD-1818-31.pdf#page=4","Abrir facsímil")</f>
        <v>Abrir facsímil</v>
      </c>
      <c r="K282" s="3" t="s">
        <v>38</v>
      </c>
    </row>
    <row r="283" spans="1:11" ht="42" customHeight="1">
      <c r="A283" s="2" t="s">
        <v>808</v>
      </c>
      <c r="B283" s="2" t="s">
        <v>809</v>
      </c>
      <c r="C283" s="2" t="s">
        <v>26</v>
      </c>
      <c r="D283" s="2" t="s">
        <v>27</v>
      </c>
      <c r="E283" s="5">
        <v>-29866</v>
      </c>
      <c r="F283" s="3" t="s">
        <v>828</v>
      </c>
      <c r="G283" s="3" t="s">
        <v>29</v>
      </c>
      <c r="H283" s="2" t="s">
        <v>36</v>
      </c>
      <c r="I283" s="2" t="s">
        <v>829</v>
      </c>
      <c r="J283" s="3" t="str">
        <f>HYPERLINK("https://www.boe.es/gazeta/dias/1818/03/24/pdfs/GMD-1818-36.pdf#page=4","Abrir facsímil")</f>
        <v>Abrir facsímil</v>
      </c>
      <c r="K283" s="3" t="s">
        <v>38</v>
      </c>
    </row>
    <row r="284" spans="1:11" ht="42" customHeight="1">
      <c r="A284" s="2" t="s">
        <v>808</v>
      </c>
      <c r="B284" s="2" t="s">
        <v>809</v>
      </c>
      <c r="C284" s="2" t="s">
        <v>26</v>
      </c>
      <c r="D284" s="2" t="s">
        <v>27</v>
      </c>
      <c r="E284" s="5">
        <v>-29864</v>
      </c>
      <c r="F284" s="3" t="s">
        <v>196</v>
      </c>
      <c r="G284" s="3" t="s">
        <v>29</v>
      </c>
      <c r="H284" s="2" t="s">
        <v>36</v>
      </c>
      <c r="I284" s="2" t="s">
        <v>830</v>
      </c>
      <c r="J284" s="3" t="str">
        <f>HYPERLINK("https://www.boe.es/gazeta/dias/1818/03/26/pdfs/GMD-1818-37.pdf#page=4","Abrir facsímil")</f>
        <v>Abrir facsímil</v>
      </c>
      <c r="K284" s="3" t="s">
        <v>38</v>
      </c>
    </row>
    <row r="285" spans="1:11" ht="42" customHeight="1">
      <c r="A285" s="2" t="s">
        <v>808</v>
      </c>
      <c r="B285" s="2" t="s">
        <v>809</v>
      </c>
      <c r="C285" s="2" t="s">
        <v>26</v>
      </c>
      <c r="D285" s="2" t="s">
        <v>27</v>
      </c>
      <c r="E285" s="5">
        <v>-29857</v>
      </c>
      <c r="F285" s="3" t="s">
        <v>831</v>
      </c>
      <c r="G285" s="3" t="s">
        <v>59</v>
      </c>
      <c r="H285" s="2" t="s">
        <v>36</v>
      </c>
      <c r="I285" s="2" t="s">
        <v>832</v>
      </c>
      <c r="J285" s="3" t="str">
        <f>HYPERLINK("https://www.boe.es/gazeta/dias/1818/04/02/pdfs/GMD-1818-40.pdf#page=6","Abrir facsímil")</f>
        <v>Abrir facsímil</v>
      </c>
      <c r="K285" s="3" t="s">
        <v>38</v>
      </c>
    </row>
    <row r="286" spans="1:11" ht="42" customHeight="1">
      <c r="A286" s="2" t="s">
        <v>808</v>
      </c>
      <c r="B286" s="2" t="s">
        <v>809</v>
      </c>
      <c r="C286" s="2" t="s">
        <v>26</v>
      </c>
      <c r="D286" s="2" t="s">
        <v>27</v>
      </c>
      <c r="E286" s="5">
        <v>-29845</v>
      </c>
      <c r="F286" s="3" t="s">
        <v>105</v>
      </c>
      <c r="G286" s="3" t="s">
        <v>833</v>
      </c>
      <c r="H286" s="2" t="s">
        <v>36</v>
      </c>
      <c r="I286" s="2" t="s">
        <v>834</v>
      </c>
      <c r="J286" s="3" t="str">
        <f>HYPERLINK("https://www.boe.es/gazeta/dias/1818/04/14/pdfs/GMD-1818-45.pdf#page=4","Abrir facsímil")</f>
        <v>Abrir facsímil</v>
      </c>
      <c r="K286" s="3" t="s">
        <v>38</v>
      </c>
    </row>
    <row r="287" spans="1:11" ht="42" customHeight="1">
      <c r="A287" s="2" t="s">
        <v>808</v>
      </c>
      <c r="B287" s="2" t="s">
        <v>809</v>
      </c>
      <c r="C287" s="2" t="s">
        <v>26</v>
      </c>
      <c r="D287" s="2" t="s">
        <v>27</v>
      </c>
      <c r="E287" s="5">
        <v>-29841</v>
      </c>
      <c r="F287" s="3" t="s">
        <v>19</v>
      </c>
      <c r="G287" s="3" t="s">
        <v>106</v>
      </c>
      <c r="H287" s="2" t="s">
        <v>36</v>
      </c>
      <c r="I287" s="2" t="s">
        <v>835</v>
      </c>
      <c r="J287" s="3" t="str">
        <f>HYPERLINK("https://www.boe.es/gazeta/dias/1818/04/18/pdfs/GMD-1818-47.pdf#page=5","Abrir facsímil")</f>
        <v>Abrir facsímil</v>
      </c>
      <c r="K287" s="3" t="s">
        <v>38</v>
      </c>
    </row>
    <row r="288" spans="1:11" ht="42" customHeight="1">
      <c r="A288" s="2" t="s">
        <v>808</v>
      </c>
      <c r="B288" s="2" t="s">
        <v>809</v>
      </c>
      <c r="C288" s="2" t="s">
        <v>17</v>
      </c>
      <c r="D288" s="2" t="s">
        <v>18</v>
      </c>
      <c r="E288" s="5">
        <v>-29841</v>
      </c>
      <c r="F288" s="3" t="s">
        <v>19</v>
      </c>
      <c r="G288" s="3" t="s">
        <v>20</v>
      </c>
      <c r="H288" s="2" t="s">
        <v>36</v>
      </c>
      <c r="I288" s="2" t="s">
        <v>836</v>
      </c>
      <c r="J288" s="3" t="str">
        <f>HYPERLINK("https://www.boe.es/gazeta/dias/1818/04/18/pdfs/GMD-1818-47.pdf#page=7","Abrir facsímil")</f>
        <v>Abrir facsímil</v>
      </c>
      <c r="K288" s="3" t="s">
        <v>38</v>
      </c>
    </row>
    <row r="289" spans="1:11" ht="42" customHeight="1">
      <c r="A289" s="2" t="s">
        <v>837</v>
      </c>
      <c r="B289" s="2" t="s">
        <v>838</v>
      </c>
      <c r="C289" s="2" t="s">
        <v>26</v>
      </c>
      <c r="D289" s="2" t="s">
        <v>27</v>
      </c>
      <c r="E289" s="5">
        <v>-29813</v>
      </c>
      <c r="F289" s="3" t="s">
        <v>839</v>
      </c>
      <c r="G289" s="3" t="s">
        <v>29</v>
      </c>
      <c r="H289" s="2" t="s">
        <v>36</v>
      </c>
      <c r="I289" s="2" t="s">
        <v>840</v>
      </c>
      <c r="J289" s="3" t="str">
        <f>HYPERLINK("https://www.boe.es/gazeta/dias/1818/05/16/pdfs/GMD-1818-59.pdf#page=4","Abrir facsímil")</f>
        <v>Abrir facsímil</v>
      </c>
      <c r="K289" s="3" t="s">
        <v>38</v>
      </c>
    </row>
    <row r="290" spans="1:11" ht="42" customHeight="1">
      <c r="A290" s="2" t="s">
        <v>837</v>
      </c>
      <c r="B290" s="2" t="s">
        <v>838</v>
      </c>
      <c r="C290" s="2" t="s">
        <v>26</v>
      </c>
      <c r="D290" s="2" t="s">
        <v>27</v>
      </c>
      <c r="E290" s="5">
        <v>-29813</v>
      </c>
      <c r="F290" s="3" t="s">
        <v>839</v>
      </c>
      <c r="G290" s="3" t="s">
        <v>59</v>
      </c>
      <c r="H290" s="2" t="s">
        <v>36</v>
      </c>
      <c r="I290" s="2" t="s">
        <v>841</v>
      </c>
      <c r="J290" s="3" t="str">
        <f>HYPERLINK("https://www.boe.es/gazeta/dias/1818/05/16/pdfs/GMD-1818-59.pdf#page=6","Abrir facsímil")</f>
        <v>Abrir facsímil</v>
      </c>
      <c r="K290" s="3" t="s">
        <v>38</v>
      </c>
    </row>
    <row r="291" spans="1:11" ht="42" customHeight="1">
      <c r="A291" s="2" t="s">
        <v>808</v>
      </c>
      <c r="B291" s="2" t="s">
        <v>809</v>
      </c>
      <c r="C291" s="2" t="s">
        <v>26</v>
      </c>
      <c r="D291" s="2" t="s">
        <v>27</v>
      </c>
      <c r="E291" s="5">
        <v>-29808</v>
      </c>
      <c r="F291" s="3" t="s">
        <v>80</v>
      </c>
      <c r="G291" s="3" t="s">
        <v>29</v>
      </c>
      <c r="H291" s="2" t="s">
        <v>36</v>
      </c>
      <c r="I291" s="2" t="s">
        <v>842</v>
      </c>
      <c r="J291" s="3" t="str">
        <f>HYPERLINK("https://www.boe.es/gazeta/dias/1818/05/21/pdfs/GMD-1818-61.pdf#page=4","Abrir facsímil")</f>
        <v>Abrir facsímil</v>
      </c>
      <c r="K291" s="3" t="s">
        <v>38</v>
      </c>
    </row>
    <row r="292" spans="1:11" ht="42" customHeight="1">
      <c r="A292" s="2" t="s">
        <v>808</v>
      </c>
      <c r="B292" s="2" t="s">
        <v>809</v>
      </c>
      <c r="C292" s="2" t="s">
        <v>26</v>
      </c>
      <c r="D292" s="2" t="s">
        <v>27</v>
      </c>
      <c r="E292" s="5">
        <v>-29806</v>
      </c>
      <c r="F292" s="3" t="s">
        <v>84</v>
      </c>
      <c r="G292" s="3" t="s">
        <v>85</v>
      </c>
      <c r="H292" s="2" t="s">
        <v>36</v>
      </c>
      <c r="I292" s="2" t="s">
        <v>843</v>
      </c>
      <c r="J292" s="3" t="str">
        <f>HYPERLINK("https://www.boe.es/gazeta/dias/1818/05/23/pdfs/GMD-1818-62.pdf#page=3","Abrir facsímil")</f>
        <v>Abrir facsímil</v>
      </c>
      <c r="K292" s="3" t="s">
        <v>38</v>
      </c>
    </row>
    <row r="293" spans="1:11" ht="42" customHeight="1">
      <c r="A293" s="2" t="s">
        <v>844</v>
      </c>
      <c r="B293" s="2" t="s">
        <v>845</v>
      </c>
      <c r="C293" s="2" t="s">
        <v>26</v>
      </c>
      <c r="D293" s="2" t="s">
        <v>27</v>
      </c>
      <c r="E293" s="5">
        <v>-29806</v>
      </c>
      <c r="F293" s="3" t="s">
        <v>84</v>
      </c>
      <c r="G293" s="3" t="s">
        <v>29</v>
      </c>
      <c r="H293" s="2" t="s">
        <v>36</v>
      </c>
      <c r="I293" s="2" t="s">
        <v>846</v>
      </c>
      <c r="J293" s="3" t="str">
        <f>HYPERLINK("https://www.boe.es/gazeta/dias/1818/05/23/pdfs/GMD-1818-62.pdf#page=4","Abrir facsímil")</f>
        <v>Abrir facsímil</v>
      </c>
      <c r="K293" s="3" t="s">
        <v>38</v>
      </c>
    </row>
    <row r="294" spans="1:11" ht="42" customHeight="1">
      <c r="A294" s="2" t="s">
        <v>808</v>
      </c>
      <c r="B294" s="2" t="s">
        <v>809</v>
      </c>
      <c r="C294" s="2" t="s">
        <v>26</v>
      </c>
      <c r="D294" s="2" t="s">
        <v>27</v>
      </c>
      <c r="E294" s="5">
        <v>-29806</v>
      </c>
      <c r="F294" s="3" t="s">
        <v>84</v>
      </c>
      <c r="G294" s="3" t="s">
        <v>59</v>
      </c>
      <c r="H294" s="2" t="s">
        <v>36</v>
      </c>
      <c r="I294" s="2" t="s">
        <v>847</v>
      </c>
      <c r="J294" s="3" t="str">
        <f>HYPERLINK("https://www.boe.es/gazeta/dias/1818/05/23/pdfs/GMD-1818-62.pdf#page=6","Abrir facsímil")</f>
        <v>Abrir facsímil</v>
      </c>
      <c r="K294" s="3" t="s">
        <v>38</v>
      </c>
    </row>
    <row r="295" spans="1:11" ht="42" customHeight="1">
      <c r="A295" s="2" t="s">
        <v>848</v>
      </c>
      <c r="B295" s="2" t="s">
        <v>849</v>
      </c>
      <c r="C295" s="2" t="s">
        <v>26</v>
      </c>
      <c r="D295" s="2" t="s">
        <v>27</v>
      </c>
      <c r="E295" s="5">
        <v>-29766</v>
      </c>
      <c r="F295" s="3" t="s">
        <v>276</v>
      </c>
      <c r="G295" s="3" t="s">
        <v>20</v>
      </c>
      <c r="H295" s="2" t="s">
        <v>36</v>
      </c>
      <c r="I295" s="2" t="s">
        <v>850</v>
      </c>
      <c r="J295" s="3" t="str">
        <f>HYPERLINK("https://www.boe.es/gazeta/dias/1818/07/02/pdfs/GMD-1818-79.pdf#page=7","Abrir facsímil")</f>
        <v>Abrir facsímil</v>
      </c>
      <c r="K295" s="3" t="s">
        <v>38</v>
      </c>
    </row>
    <row r="296" spans="1:11" ht="42" customHeight="1">
      <c r="A296" s="2" t="s">
        <v>808</v>
      </c>
      <c r="B296" s="2" t="s">
        <v>809</v>
      </c>
      <c r="C296" s="2" t="s">
        <v>26</v>
      </c>
      <c r="D296" s="2" t="s">
        <v>27</v>
      </c>
      <c r="E296" s="5">
        <v>-29761</v>
      </c>
      <c r="F296" s="3" t="s">
        <v>168</v>
      </c>
      <c r="G296" s="3" t="s">
        <v>20</v>
      </c>
      <c r="H296" s="2" t="s">
        <v>36</v>
      </c>
      <c r="I296" s="2" t="s">
        <v>851</v>
      </c>
      <c r="J296" s="3" t="str">
        <f>HYPERLINK("https://www.boe.es/gazeta/dias/1818/07/07/pdfs/GMD-1818-81.pdf#page=7","Abrir facsímil")</f>
        <v>Abrir facsímil</v>
      </c>
      <c r="K296" s="3" t="s">
        <v>38</v>
      </c>
    </row>
    <row r="297" spans="1:11" ht="42" customHeight="1">
      <c r="A297" s="2" t="s">
        <v>808</v>
      </c>
      <c r="B297" s="2" t="s">
        <v>809</v>
      </c>
      <c r="C297" s="2" t="s">
        <v>17</v>
      </c>
      <c r="D297" s="2" t="s">
        <v>18</v>
      </c>
      <c r="E297" s="5">
        <v>-29750</v>
      </c>
      <c r="F297" s="3" t="s">
        <v>384</v>
      </c>
      <c r="G297" s="3" t="s">
        <v>29</v>
      </c>
      <c r="H297" s="2" t="s">
        <v>36</v>
      </c>
      <c r="I297" s="2" t="s">
        <v>852</v>
      </c>
      <c r="J297" s="3" t="str">
        <f>HYPERLINK("https://www.boe.es/gazeta/dias/1818/07/18/pdfs/GMD-1818-86.pdf#page=4","Abrir facsímil")</f>
        <v>Abrir facsímil</v>
      </c>
      <c r="K297" s="3" t="s">
        <v>38</v>
      </c>
    </row>
    <row r="298" spans="1:11" ht="42" customHeight="1">
      <c r="A298" s="2" t="s">
        <v>808</v>
      </c>
      <c r="B298" s="2" t="s">
        <v>809</v>
      </c>
      <c r="C298" s="2" t="s">
        <v>33</v>
      </c>
      <c r="D298" s="2" t="s">
        <v>18</v>
      </c>
      <c r="E298" s="5">
        <v>-29733</v>
      </c>
      <c r="F298" s="3" t="s">
        <v>482</v>
      </c>
      <c r="G298" s="3" t="s">
        <v>59</v>
      </c>
      <c r="H298" s="2" t="s">
        <v>36</v>
      </c>
      <c r="I298" s="2" t="s">
        <v>853</v>
      </c>
      <c r="J298" s="3" t="str">
        <f>HYPERLINK("https://www.boe.es/gazeta/dias/1818/08/04/pdfs/GMD-1818-93.pdf#page=6","Abrir facsímil")</f>
        <v>Abrir facsímil</v>
      </c>
      <c r="K298" s="3" t="s">
        <v>38</v>
      </c>
    </row>
    <row r="299" spans="1:11" ht="42" customHeight="1">
      <c r="A299" s="2" t="s">
        <v>808</v>
      </c>
      <c r="B299" s="2" t="s">
        <v>809</v>
      </c>
      <c r="C299" s="2" t="s">
        <v>17</v>
      </c>
      <c r="D299" s="2" t="s">
        <v>18</v>
      </c>
      <c r="E299" s="5">
        <v>-29724</v>
      </c>
      <c r="F299" s="3" t="s">
        <v>370</v>
      </c>
      <c r="G299" s="3" t="s">
        <v>29</v>
      </c>
      <c r="H299" s="2" t="s">
        <v>36</v>
      </c>
      <c r="I299" s="2" t="s">
        <v>854</v>
      </c>
      <c r="J299" s="3" t="str">
        <f>HYPERLINK("https://www.boe.es/gazeta/dias/1818/08/13/pdfs/GMD-1818-97.pdf#page=4","Abrir facsímil")</f>
        <v>Abrir facsímil</v>
      </c>
      <c r="K299" s="3" t="s">
        <v>38</v>
      </c>
    </row>
    <row r="300" spans="1:11" ht="42" customHeight="1">
      <c r="A300" s="2" t="s">
        <v>808</v>
      </c>
      <c r="B300" s="2" t="s">
        <v>809</v>
      </c>
      <c r="C300" s="2" t="s">
        <v>57</v>
      </c>
      <c r="D300" s="2" t="s">
        <v>18</v>
      </c>
      <c r="E300" s="5">
        <v>-29724</v>
      </c>
      <c r="F300" s="3" t="s">
        <v>370</v>
      </c>
      <c r="G300" s="3" t="s">
        <v>106</v>
      </c>
      <c r="H300" s="2" t="s">
        <v>36</v>
      </c>
      <c r="I300" s="2" t="s">
        <v>855</v>
      </c>
      <c r="J300" s="3" t="str">
        <f>HYPERLINK("https://www.boe.es/gazeta/dias/1818/08/13/pdfs/GMD-1818-97.pdf#page=5","Abrir facsímil")</f>
        <v>Abrir facsímil</v>
      </c>
      <c r="K300" s="3" t="s">
        <v>38</v>
      </c>
    </row>
    <row r="301" spans="1:11" ht="42" customHeight="1">
      <c r="A301" s="2" t="s">
        <v>808</v>
      </c>
      <c r="B301" s="2" t="s">
        <v>809</v>
      </c>
      <c r="C301" s="2" t="s">
        <v>17</v>
      </c>
      <c r="D301" s="2" t="s">
        <v>18</v>
      </c>
      <c r="E301" s="5">
        <v>-29715</v>
      </c>
      <c r="F301" s="3" t="s">
        <v>208</v>
      </c>
      <c r="G301" s="3" t="s">
        <v>29</v>
      </c>
      <c r="H301" s="2" t="s">
        <v>36</v>
      </c>
      <c r="I301" s="2" t="s">
        <v>856</v>
      </c>
      <c r="J301" s="3" t="str">
        <f>HYPERLINK("https://www.boe.es/gazeta/dias/1818/08/22/pdfs/GMD-1818-101.pdf#page=4","Abrir facsímil")</f>
        <v>Abrir facsímil</v>
      </c>
      <c r="K301" s="3" t="s">
        <v>38</v>
      </c>
    </row>
    <row r="302" spans="1:11" ht="42" customHeight="1">
      <c r="A302" s="2" t="s">
        <v>808</v>
      </c>
      <c r="B302" s="2" t="s">
        <v>809</v>
      </c>
      <c r="C302" s="2" t="s">
        <v>26</v>
      </c>
      <c r="D302" s="2" t="s">
        <v>27</v>
      </c>
      <c r="E302" s="5">
        <v>-29694</v>
      </c>
      <c r="F302" s="3" t="s">
        <v>528</v>
      </c>
      <c r="G302" s="3" t="s">
        <v>29</v>
      </c>
      <c r="H302" s="2" t="s">
        <v>36</v>
      </c>
      <c r="I302" s="2" t="s">
        <v>857</v>
      </c>
      <c r="J302" s="3" t="str">
        <f>HYPERLINK("https://www.boe.es/gazeta/dias/1818/09/12/pdfs/GMD-1818-110.pdf#page=4","Abrir facsímil")</f>
        <v>Abrir facsímil</v>
      </c>
      <c r="K302" s="3" t="s">
        <v>38</v>
      </c>
    </row>
    <row r="303" spans="1:11" ht="42" customHeight="1">
      <c r="A303" s="2" t="s">
        <v>808</v>
      </c>
      <c r="B303" s="2" t="s">
        <v>809</v>
      </c>
      <c r="C303" s="2" t="s">
        <v>26</v>
      </c>
      <c r="D303" s="2" t="s">
        <v>27</v>
      </c>
      <c r="E303" s="5">
        <v>-29694</v>
      </c>
      <c r="F303" s="3" t="s">
        <v>528</v>
      </c>
      <c r="G303" s="3" t="s">
        <v>59</v>
      </c>
      <c r="H303" s="2" t="s">
        <v>36</v>
      </c>
      <c r="I303" s="2" t="s">
        <v>858</v>
      </c>
      <c r="J303" s="3" t="str">
        <f>HYPERLINK("https://www.boe.es/gazeta/dias/1818/09/12/pdfs/GMD-1818-110.pdf#page=6","Abrir facsímil")</f>
        <v>Abrir facsímil</v>
      </c>
      <c r="K303" s="3" t="s">
        <v>38</v>
      </c>
    </row>
    <row r="304" spans="1:11" ht="42" customHeight="1">
      <c r="A304" s="2" t="s">
        <v>808</v>
      </c>
      <c r="B304" s="2" t="s">
        <v>809</v>
      </c>
      <c r="C304" s="2" t="s">
        <v>26</v>
      </c>
      <c r="D304" s="2" t="s">
        <v>27</v>
      </c>
      <c r="E304" s="5">
        <v>-29691</v>
      </c>
      <c r="F304" s="3" t="s">
        <v>144</v>
      </c>
      <c r="G304" s="3" t="s">
        <v>29</v>
      </c>
      <c r="H304" s="2" t="s">
        <v>36</v>
      </c>
      <c r="I304" s="2" t="s">
        <v>859</v>
      </c>
      <c r="J304" s="3" t="str">
        <f>HYPERLINK("https://www.boe.es/gazeta/dias/1818/09/15/pdfs/GMD-1818-111.pdf#page=4","Abrir facsímil")</f>
        <v>Abrir facsímil</v>
      </c>
      <c r="K304" s="3" t="s">
        <v>38</v>
      </c>
    </row>
    <row r="305" spans="1:11" ht="42" customHeight="1">
      <c r="A305" s="2" t="s">
        <v>848</v>
      </c>
      <c r="B305" s="2" t="s">
        <v>849</v>
      </c>
      <c r="C305" s="2" t="s">
        <v>26</v>
      </c>
      <c r="D305" s="2" t="s">
        <v>27</v>
      </c>
      <c r="E305" s="5">
        <v>-29687</v>
      </c>
      <c r="F305" s="3" t="s">
        <v>686</v>
      </c>
      <c r="G305" s="3" t="s">
        <v>29</v>
      </c>
      <c r="H305" s="2" t="s">
        <v>36</v>
      </c>
      <c r="I305" s="2" t="s">
        <v>860</v>
      </c>
      <c r="J305" s="3" t="str">
        <f>HYPERLINK("https://www.boe.es/gazeta/dias/1818/09/19/pdfs/GMD-1818-113.pdf#page=4","Abrir facsímil")</f>
        <v>Abrir facsímil</v>
      </c>
      <c r="K305" s="3" t="s">
        <v>38</v>
      </c>
    </row>
    <row r="306" spans="1:11" ht="42" customHeight="1">
      <c r="A306" s="2" t="s">
        <v>808</v>
      </c>
      <c r="B306" s="2" t="s">
        <v>809</v>
      </c>
      <c r="C306" s="2" t="s">
        <v>26</v>
      </c>
      <c r="D306" s="2" t="s">
        <v>27</v>
      </c>
      <c r="E306" s="5">
        <v>-29687</v>
      </c>
      <c r="F306" s="3" t="s">
        <v>686</v>
      </c>
      <c r="G306" s="3" t="s">
        <v>106</v>
      </c>
      <c r="H306" s="2" t="s">
        <v>36</v>
      </c>
      <c r="I306" s="2" t="s">
        <v>861</v>
      </c>
      <c r="J306" s="3" t="str">
        <f>HYPERLINK("https://www.boe.es/gazeta/dias/1818/09/19/pdfs/GMD-1818-113.pdf#page=5","Abrir facsímil")</f>
        <v>Abrir facsímil</v>
      </c>
      <c r="K306" s="3" t="s">
        <v>38</v>
      </c>
    </row>
    <row r="307" spans="1:11" ht="42" customHeight="1">
      <c r="A307" s="2" t="s">
        <v>808</v>
      </c>
      <c r="B307" s="2" t="s">
        <v>809</v>
      </c>
      <c r="C307" s="2" t="s">
        <v>26</v>
      </c>
      <c r="D307" s="2" t="s">
        <v>27</v>
      </c>
      <c r="E307" s="5">
        <v>-29684</v>
      </c>
      <c r="F307" s="3" t="s">
        <v>311</v>
      </c>
      <c r="G307" s="3" t="s">
        <v>106</v>
      </c>
      <c r="H307" s="2" t="s">
        <v>36</v>
      </c>
      <c r="I307" s="2" t="s">
        <v>862</v>
      </c>
      <c r="J307" s="3" t="str">
        <f>HYPERLINK("https://www.boe.es/gazeta/dias/1818/09/22/pdfs/GMD-1818-114.pdf#page=5","Abrir facsímil")</f>
        <v>Abrir facsímil</v>
      </c>
      <c r="K307" s="3" t="s">
        <v>38</v>
      </c>
    </row>
    <row r="308" spans="1:11" ht="42" customHeight="1">
      <c r="A308" s="2" t="s">
        <v>808</v>
      </c>
      <c r="B308" s="2" t="s">
        <v>809</v>
      </c>
      <c r="C308" s="2" t="s">
        <v>26</v>
      </c>
      <c r="D308" s="2" t="s">
        <v>27</v>
      </c>
      <c r="E308" s="5">
        <v>-29682</v>
      </c>
      <c r="F308" s="3" t="s">
        <v>170</v>
      </c>
      <c r="G308" s="3" t="s">
        <v>106</v>
      </c>
      <c r="H308" s="2" t="s">
        <v>36</v>
      </c>
      <c r="I308" s="2" t="s">
        <v>863</v>
      </c>
      <c r="J308" s="3" t="str">
        <f>HYPERLINK("https://www.boe.es/gazeta/dias/1818/09/24/pdfs/GMD-1818-115.pdf#page=5","Abrir facsímil")</f>
        <v>Abrir facsímil</v>
      </c>
      <c r="K308" s="3" t="s">
        <v>38</v>
      </c>
    </row>
    <row r="309" spans="1:11" ht="42" customHeight="1">
      <c r="A309" s="2" t="s">
        <v>808</v>
      </c>
      <c r="B309" s="2" t="s">
        <v>809</v>
      </c>
      <c r="C309" s="2" t="s">
        <v>26</v>
      </c>
      <c r="D309" s="2" t="s">
        <v>27</v>
      </c>
      <c r="E309" s="5">
        <v>-29682</v>
      </c>
      <c r="F309" s="3" t="s">
        <v>170</v>
      </c>
      <c r="G309" s="3" t="s">
        <v>59</v>
      </c>
      <c r="H309" s="2" t="s">
        <v>36</v>
      </c>
      <c r="I309" s="2" t="s">
        <v>864</v>
      </c>
      <c r="J309" s="3" t="str">
        <f>HYPERLINK("https://www.boe.es/gazeta/dias/1818/09/24/pdfs/GMD-1818-115.pdf#page=6","Abrir facsímil")</f>
        <v>Abrir facsímil</v>
      </c>
      <c r="K309" s="3" t="s">
        <v>38</v>
      </c>
    </row>
    <row r="310" spans="1:11" ht="42" customHeight="1">
      <c r="A310" s="2" t="s">
        <v>808</v>
      </c>
      <c r="B310" s="2" t="s">
        <v>809</v>
      </c>
      <c r="C310" s="2" t="s">
        <v>26</v>
      </c>
      <c r="D310" s="2" t="s">
        <v>27</v>
      </c>
      <c r="E310" s="5">
        <v>-29680</v>
      </c>
      <c r="F310" s="3" t="s">
        <v>865</v>
      </c>
      <c r="G310" s="3" t="s">
        <v>29</v>
      </c>
      <c r="H310" s="2" t="s">
        <v>36</v>
      </c>
      <c r="I310" s="2" t="s">
        <v>866</v>
      </c>
      <c r="J310" s="3" t="str">
        <f>HYPERLINK("https://www.boe.es/gazeta/dias/1818/09/26/pdfs/GMD-1818-116.pdf#page=4","Abrir facsímil")</f>
        <v>Abrir facsímil</v>
      </c>
      <c r="K310" s="3" t="s">
        <v>38</v>
      </c>
    </row>
    <row r="311" spans="1:11" ht="42" customHeight="1">
      <c r="A311" s="2" t="s">
        <v>808</v>
      </c>
      <c r="B311" s="2" t="s">
        <v>809</v>
      </c>
      <c r="C311" s="2" t="s">
        <v>26</v>
      </c>
      <c r="D311" s="2" t="s">
        <v>27</v>
      </c>
      <c r="E311" s="5">
        <v>-29677</v>
      </c>
      <c r="F311" s="3" t="s">
        <v>157</v>
      </c>
      <c r="G311" s="3" t="s">
        <v>29</v>
      </c>
      <c r="H311" s="2" t="s">
        <v>36</v>
      </c>
      <c r="I311" s="2" t="s">
        <v>867</v>
      </c>
      <c r="J311" s="3" t="str">
        <f>HYPERLINK("https://www.boe.es/gazeta/dias/1818/09/29/pdfs/GMD-1818-117.pdf#page=4","Abrir facsímil")</f>
        <v>Abrir facsímil</v>
      </c>
      <c r="K311" s="3" t="s">
        <v>38</v>
      </c>
    </row>
    <row r="312" spans="1:11" ht="42" customHeight="1">
      <c r="A312" s="2" t="s">
        <v>808</v>
      </c>
      <c r="B312" s="2" t="s">
        <v>809</v>
      </c>
      <c r="C312" s="2" t="s">
        <v>17</v>
      </c>
      <c r="D312" s="2" t="s">
        <v>18</v>
      </c>
      <c r="E312" s="5">
        <v>-29666</v>
      </c>
      <c r="F312" s="3" t="s">
        <v>258</v>
      </c>
      <c r="G312" s="3" t="s">
        <v>106</v>
      </c>
      <c r="H312" s="2" t="s">
        <v>36</v>
      </c>
      <c r="I312" s="2" t="s">
        <v>868</v>
      </c>
      <c r="J312" s="3" t="str">
        <f>HYPERLINK("https://www.boe.es/gazeta/dias/1818/10/10/pdfs/GMD-1818-122.pdf#page=5","Abrir facsímil")</f>
        <v>Abrir facsímil</v>
      </c>
      <c r="K312" s="3" t="s">
        <v>38</v>
      </c>
    </row>
    <row r="313" spans="1:11" ht="42" customHeight="1">
      <c r="A313" s="2" t="s">
        <v>808</v>
      </c>
      <c r="B313" s="2" t="s">
        <v>809</v>
      </c>
      <c r="C313" s="2" t="s">
        <v>17</v>
      </c>
      <c r="D313" s="2" t="s">
        <v>18</v>
      </c>
      <c r="E313" s="5">
        <v>-29661</v>
      </c>
      <c r="F313" s="3" t="s">
        <v>348</v>
      </c>
      <c r="G313" s="3" t="s">
        <v>85</v>
      </c>
      <c r="H313" s="2" t="s">
        <v>36</v>
      </c>
      <c r="I313" s="2" t="s">
        <v>869</v>
      </c>
      <c r="J313" s="3" t="str">
        <f>HYPERLINK("https://www.boe.es/gazeta/dias/1818/10/15/pdfs/GMD-1818-124.pdf#page=3","Abrir facsímil")</f>
        <v>Abrir facsímil</v>
      </c>
      <c r="K313" s="3" t="s">
        <v>38</v>
      </c>
    </row>
    <row r="314" spans="1:11" ht="42" customHeight="1">
      <c r="A314" s="2" t="s">
        <v>870</v>
      </c>
      <c r="B314" s="2" t="s">
        <v>871</v>
      </c>
      <c r="C314" s="2" t="s">
        <v>26</v>
      </c>
      <c r="D314" s="2" t="s">
        <v>27</v>
      </c>
      <c r="E314" s="5">
        <v>-29656</v>
      </c>
      <c r="F314" s="3" t="s">
        <v>601</v>
      </c>
      <c r="G314" s="3" t="s">
        <v>29</v>
      </c>
      <c r="H314" s="2" t="s">
        <v>36</v>
      </c>
      <c r="I314" s="2" t="s">
        <v>872</v>
      </c>
      <c r="J314" s="3" t="str">
        <f>HYPERLINK("https://www.boe.es/gazeta/dias/1818/10/20/pdfs/GMD-1818-127.pdf#page=4","Abrir facsímil")</f>
        <v>Abrir facsímil</v>
      </c>
      <c r="K314" s="3" t="s">
        <v>38</v>
      </c>
    </row>
    <row r="315" spans="1:11" ht="42" customHeight="1">
      <c r="A315" s="2" t="s">
        <v>808</v>
      </c>
      <c r="B315" s="2" t="s">
        <v>809</v>
      </c>
      <c r="C315" s="2" t="s">
        <v>26</v>
      </c>
      <c r="D315" s="2" t="s">
        <v>27</v>
      </c>
      <c r="E315" s="5">
        <v>-29654</v>
      </c>
      <c r="F315" s="3" t="s">
        <v>219</v>
      </c>
      <c r="G315" s="3" t="s">
        <v>873</v>
      </c>
      <c r="H315" s="2" t="s">
        <v>36</v>
      </c>
      <c r="I315" s="2" t="s">
        <v>874</v>
      </c>
      <c r="J315" s="3" t="str">
        <f>HYPERLINK("https://www.boe.es/gazeta/dias/1818/10/22/pdfs/GMD-1818-128.pdf#page=5","Abrir facsímil")</f>
        <v>Abrir facsímil</v>
      </c>
      <c r="K315" s="3" t="s">
        <v>38</v>
      </c>
    </row>
    <row r="316" spans="1:11" ht="42" customHeight="1">
      <c r="A316" s="2" t="s">
        <v>808</v>
      </c>
      <c r="B316" s="2" t="s">
        <v>809</v>
      </c>
      <c r="C316" s="2" t="s">
        <v>26</v>
      </c>
      <c r="D316" s="2" t="s">
        <v>27</v>
      </c>
      <c r="E316" s="5">
        <v>-29654</v>
      </c>
      <c r="F316" s="3" t="s">
        <v>219</v>
      </c>
      <c r="G316" s="3" t="s">
        <v>20</v>
      </c>
      <c r="H316" s="2" t="s">
        <v>36</v>
      </c>
      <c r="I316" s="2" t="s">
        <v>875</v>
      </c>
      <c r="J316" s="3" t="str">
        <f>HYPERLINK("https://www.boe.es/gazeta/dias/1818/10/22/pdfs/GMD-1818-128.pdf#page=7","Abrir facsímil")</f>
        <v>Abrir facsímil</v>
      </c>
      <c r="K316" s="3" t="s">
        <v>38</v>
      </c>
    </row>
    <row r="317" spans="1:11" ht="42" customHeight="1">
      <c r="A317" s="2" t="s">
        <v>876</v>
      </c>
      <c r="B317" s="2" t="s">
        <v>877</v>
      </c>
      <c r="C317" s="2" t="s">
        <v>26</v>
      </c>
      <c r="D317" s="2" t="s">
        <v>27</v>
      </c>
      <c r="E317" s="5">
        <v>-29652</v>
      </c>
      <c r="F317" s="3" t="s">
        <v>741</v>
      </c>
      <c r="G317" s="3" t="s">
        <v>106</v>
      </c>
      <c r="H317" s="2" t="s">
        <v>36</v>
      </c>
      <c r="I317" s="2" t="s">
        <v>878</v>
      </c>
      <c r="J317" s="3" t="str">
        <f>HYPERLINK("https://www.boe.es/gazeta/dias/1818/10/24/pdfs/GMD-1818-129.pdf#page=5","Abrir facsímil")</f>
        <v>Abrir facsímil</v>
      </c>
      <c r="K317" s="3" t="s">
        <v>38</v>
      </c>
    </row>
    <row r="318" spans="1:11" ht="42" customHeight="1">
      <c r="A318" s="2" t="s">
        <v>808</v>
      </c>
      <c r="B318" s="2" t="s">
        <v>809</v>
      </c>
      <c r="C318" s="2" t="s">
        <v>26</v>
      </c>
      <c r="D318" s="2" t="s">
        <v>27</v>
      </c>
      <c r="E318" s="5">
        <v>-29645</v>
      </c>
      <c r="F318" s="3" t="s">
        <v>577</v>
      </c>
      <c r="G318" s="3" t="s">
        <v>29</v>
      </c>
      <c r="H318" s="2" t="s">
        <v>36</v>
      </c>
      <c r="I318" s="2" t="s">
        <v>879</v>
      </c>
      <c r="J318" s="3" t="str">
        <f>HYPERLINK("https://www.boe.es/gazeta/dias/1818/10/31/pdfs/GMD-1818-132.pdf#page=4","Abrir facsímil")</f>
        <v>Abrir facsímil</v>
      </c>
      <c r="K318" s="3" t="s">
        <v>38</v>
      </c>
    </row>
    <row r="319" spans="1:11" ht="42" customHeight="1">
      <c r="A319" s="2" t="s">
        <v>808</v>
      </c>
      <c r="B319" s="2" t="s">
        <v>809</v>
      </c>
      <c r="C319" s="2" t="s">
        <v>17</v>
      </c>
      <c r="D319" s="2" t="s">
        <v>18</v>
      </c>
      <c r="E319" s="5">
        <v>-29640</v>
      </c>
      <c r="F319" s="3" t="s">
        <v>75</v>
      </c>
      <c r="G319" s="3" t="s">
        <v>29</v>
      </c>
      <c r="H319" s="2" t="s">
        <v>36</v>
      </c>
      <c r="I319" s="2" t="s">
        <v>880</v>
      </c>
      <c r="J319" s="3" t="str">
        <f>HYPERLINK("https://www.boe.es/gazeta/dias/1818/11/05/pdfs/GMD-1818-134.pdf#page=4","Abrir facsímil")</f>
        <v>Abrir facsímil</v>
      </c>
      <c r="K319" s="3" t="s">
        <v>38</v>
      </c>
    </row>
    <row r="320" spans="1:11" ht="42" customHeight="1">
      <c r="A320" s="2" t="s">
        <v>808</v>
      </c>
      <c r="B320" s="2" t="s">
        <v>809</v>
      </c>
      <c r="C320" s="2" t="s">
        <v>17</v>
      </c>
      <c r="D320" s="2" t="s">
        <v>18</v>
      </c>
      <c r="E320" s="5">
        <v>-29640</v>
      </c>
      <c r="F320" s="3" t="s">
        <v>75</v>
      </c>
      <c r="G320" s="3" t="s">
        <v>59</v>
      </c>
      <c r="H320" s="2" t="s">
        <v>36</v>
      </c>
      <c r="I320" s="2" t="s">
        <v>881</v>
      </c>
      <c r="J320" s="3" t="str">
        <f>HYPERLINK("https://www.boe.es/gazeta/dias/1818/11/05/pdfs/GMD-1818-134.pdf#page=6","Abrir facsímil")</f>
        <v>Abrir facsímil</v>
      </c>
      <c r="K320" s="3" t="s">
        <v>38</v>
      </c>
    </row>
    <row r="321" spans="1:11" ht="42" customHeight="1">
      <c r="A321" s="2" t="s">
        <v>808</v>
      </c>
      <c r="B321" s="2" t="s">
        <v>809</v>
      </c>
      <c r="C321" s="2" t="s">
        <v>17</v>
      </c>
      <c r="D321" s="2" t="s">
        <v>18</v>
      </c>
      <c r="E321" s="5">
        <v>-29626</v>
      </c>
      <c r="F321" s="3" t="s">
        <v>496</v>
      </c>
      <c r="G321" s="3" t="s">
        <v>882</v>
      </c>
      <c r="H321" s="2" t="s">
        <v>36</v>
      </c>
      <c r="I321" s="2" t="s">
        <v>883</v>
      </c>
      <c r="J321" s="3" t="str">
        <f>HYPERLINK("https://www.boe.es/gazeta/dias/1818/11/19/pdfs/GMD-1818-140.pdf#page=4","Abrir facsímil")</f>
        <v>Abrir facsímil</v>
      </c>
      <c r="K321" s="3" t="s">
        <v>38</v>
      </c>
    </row>
    <row r="322" spans="1:11" ht="42" customHeight="1">
      <c r="A322" s="2" t="s">
        <v>808</v>
      </c>
      <c r="B322" s="2" t="s">
        <v>809</v>
      </c>
      <c r="C322" s="2" t="s">
        <v>26</v>
      </c>
      <c r="D322" s="2" t="s">
        <v>27</v>
      </c>
      <c r="E322" s="5">
        <v>-29619</v>
      </c>
      <c r="F322" s="3" t="s">
        <v>64</v>
      </c>
      <c r="G322" s="3" t="s">
        <v>721</v>
      </c>
      <c r="H322" s="2" t="s">
        <v>36</v>
      </c>
      <c r="I322" s="2" t="s">
        <v>884</v>
      </c>
      <c r="J322" s="3" t="str">
        <f>HYPERLINK("https://www.boe.es/gazeta/dias/1818/11/26/pdfs/GMD-1818-143.pdf#page=5","Abrir facsímil")</f>
        <v>Abrir facsímil</v>
      </c>
      <c r="K322" s="3" t="s">
        <v>38</v>
      </c>
    </row>
    <row r="323" spans="1:11" ht="42" customHeight="1">
      <c r="A323" s="2" t="s">
        <v>808</v>
      </c>
      <c r="B323" s="2" t="s">
        <v>809</v>
      </c>
      <c r="C323" s="2" t="s">
        <v>26</v>
      </c>
      <c r="D323" s="2" t="s">
        <v>27</v>
      </c>
      <c r="E323" s="5">
        <v>-29619</v>
      </c>
      <c r="F323" s="3" t="s">
        <v>64</v>
      </c>
      <c r="G323" s="3" t="s">
        <v>59</v>
      </c>
      <c r="H323" s="2" t="s">
        <v>36</v>
      </c>
      <c r="I323" s="2" t="s">
        <v>885</v>
      </c>
      <c r="J323" s="3" t="str">
        <f>HYPERLINK("https://www.boe.es/gazeta/dias/1818/11/26/pdfs/GMD-1818-143.pdf#page=6","Abrir facsímil")</f>
        <v>Abrir facsímil</v>
      </c>
      <c r="K323" s="3" t="s">
        <v>38</v>
      </c>
    </row>
    <row r="324" spans="1:11" ht="42" customHeight="1">
      <c r="A324" s="2" t="s">
        <v>808</v>
      </c>
      <c r="B324" s="2" t="s">
        <v>809</v>
      </c>
      <c r="C324" s="2" t="s">
        <v>26</v>
      </c>
      <c r="D324" s="2" t="s">
        <v>27</v>
      </c>
      <c r="E324" s="5">
        <v>-29607</v>
      </c>
      <c r="F324" s="3" t="s">
        <v>704</v>
      </c>
      <c r="G324" s="3" t="s">
        <v>59</v>
      </c>
      <c r="H324" s="2" t="s">
        <v>36</v>
      </c>
      <c r="I324" s="2" t="s">
        <v>886</v>
      </c>
      <c r="J324" s="3" t="str">
        <f>HYPERLINK("https://www.boe.es/gazeta/dias/1818/12/08/pdfs/GMD-1818-148.pdf#page=6","Abrir facsímil")</f>
        <v>Abrir facsímil</v>
      </c>
      <c r="K324" s="3" t="s">
        <v>38</v>
      </c>
    </row>
    <row r="325" spans="1:11" ht="42" customHeight="1">
      <c r="A325" s="2" t="s">
        <v>808</v>
      </c>
      <c r="B325" s="2" t="s">
        <v>809</v>
      </c>
      <c r="C325" s="2" t="s">
        <v>26</v>
      </c>
      <c r="D325" s="2" t="s">
        <v>27</v>
      </c>
      <c r="E325" s="5">
        <v>-29607</v>
      </c>
      <c r="F325" s="3" t="s">
        <v>704</v>
      </c>
      <c r="G325" s="3" t="s">
        <v>20</v>
      </c>
      <c r="H325" s="2" t="s">
        <v>36</v>
      </c>
      <c r="I325" s="2" t="s">
        <v>887</v>
      </c>
      <c r="J325" s="3" t="str">
        <f>HYPERLINK("https://www.boe.es/gazeta/dias/1818/12/08/pdfs/GMD-1818-148.pdf#page=7","Abrir facsímil")</f>
        <v>Abrir facsímil</v>
      </c>
      <c r="K325" s="3" t="s">
        <v>38</v>
      </c>
    </row>
    <row r="326" spans="1:11" ht="42" customHeight="1">
      <c r="A326" s="2" t="s">
        <v>808</v>
      </c>
      <c r="B326" s="2" t="s">
        <v>809</v>
      </c>
      <c r="C326" s="2" t="s">
        <v>26</v>
      </c>
      <c r="D326" s="2" t="s">
        <v>27</v>
      </c>
      <c r="E326" s="5">
        <v>-29605</v>
      </c>
      <c r="F326" s="3" t="s">
        <v>888</v>
      </c>
      <c r="G326" s="3" t="s">
        <v>889</v>
      </c>
      <c r="H326" s="2" t="s">
        <v>36</v>
      </c>
      <c r="I326" s="2" t="s">
        <v>890</v>
      </c>
      <c r="J326" s="3" t="str">
        <f>HYPERLINK("https://www.boe.es/gazeta/dias/1818/12/10/pdfs/GMD-1818-149.pdf#page=6","Abrir facsímil")</f>
        <v>Abrir facsímil</v>
      </c>
      <c r="K326" s="3" t="s">
        <v>38</v>
      </c>
    </row>
    <row r="327" spans="1:11" ht="42" customHeight="1">
      <c r="A327" s="2" t="s">
        <v>808</v>
      </c>
      <c r="B327" s="2" t="s">
        <v>809</v>
      </c>
      <c r="C327" s="2" t="s">
        <v>26</v>
      </c>
      <c r="D327" s="2" t="s">
        <v>27</v>
      </c>
      <c r="E327" s="5">
        <v>-29605</v>
      </c>
      <c r="F327" s="3" t="s">
        <v>888</v>
      </c>
      <c r="G327" s="3" t="s">
        <v>891</v>
      </c>
      <c r="H327" s="2" t="s">
        <v>36</v>
      </c>
      <c r="I327" s="2" t="s">
        <v>892</v>
      </c>
      <c r="J327" s="3" t="str">
        <f>HYPERLINK("https://www.boe.es/gazeta/dias/1818/12/10/pdfs/GMD-1818-149.pdf#page=7","Abrir facsímil")</f>
        <v>Abrir facsímil</v>
      </c>
      <c r="K327" s="3" t="s">
        <v>38</v>
      </c>
    </row>
    <row r="328" spans="1:11" ht="42" customHeight="1">
      <c r="A328" s="2" t="s">
        <v>808</v>
      </c>
      <c r="B328" s="2" t="s">
        <v>809</v>
      </c>
      <c r="C328" s="2" t="s">
        <v>26</v>
      </c>
      <c r="D328" s="2" t="s">
        <v>27</v>
      </c>
      <c r="E328" s="5">
        <v>-29598</v>
      </c>
      <c r="F328" s="3" t="s">
        <v>98</v>
      </c>
      <c r="G328" s="3" t="s">
        <v>29</v>
      </c>
      <c r="H328" s="2" t="s">
        <v>36</v>
      </c>
      <c r="I328" s="2" t="s">
        <v>893</v>
      </c>
      <c r="J328" s="3" t="str">
        <f>HYPERLINK("https://www.boe.es/gazeta/dias/1818/12/17/pdfs/GMD-1818-152.pdf#page=4","Abrir facsímil")</f>
        <v>Abrir facsímil</v>
      </c>
      <c r="K328" s="3" t="s">
        <v>38</v>
      </c>
    </row>
    <row r="329" spans="1:11" ht="42" customHeight="1">
      <c r="A329" s="2" t="s">
        <v>808</v>
      </c>
      <c r="B329" s="2" t="s">
        <v>809</v>
      </c>
      <c r="C329" s="2" t="s">
        <v>26</v>
      </c>
      <c r="D329" s="2" t="s">
        <v>27</v>
      </c>
      <c r="E329" s="5">
        <v>-29598</v>
      </c>
      <c r="F329" s="3" t="s">
        <v>98</v>
      </c>
      <c r="G329" s="3" t="s">
        <v>106</v>
      </c>
      <c r="H329" s="2" t="s">
        <v>36</v>
      </c>
      <c r="I329" s="2" t="s">
        <v>894</v>
      </c>
      <c r="J329" s="3" t="str">
        <f>HYPERLINK("https://www.boe.es/gazeta/dias/1818/12/17/pdfs/GMD-1818-152.pdf#page=5","Abrir facsímil")</f>
        <v>Abrir facsímil</v>
      </c>
      <c r="K329" s="3" t="s">
        <v>38</v>
      </c>
    </row>
    <row r="330" spans="1:11" ht="42" customHeight="1">
      <c r="A330" s="2" t="s">
        <v>808</v>
      </c>
      <c r="B330" s="2" t="s">
        <v>809</v>
      </c>
      <c r="C330" s="2" t="s">
        <v>26</v>
      </c>
      <c r="D330" s="2" t="s">
        <v>27</v>
      </c>
      <c r="E330" s="5">
        <v>-29598</v>
      </c>
      <c r="F330" s="3" t="s">
        <v>98</v>
      </c>
      <c r="G330" s="3" t="s">
        <v>59</v>
      </c>
      <c r="H330" s="2" t="s">
        <v>36</v>
      </c>
      <c r="I330" s="2" t="s">
        <v>895</v>
      </c>
      <c r="J330" s="3" t="str">
        <f>HYPERLINK("https://www.boe.es/gazeta/dias/1818/12/17/pdfs/GMD-1818-152.pdf#page=6","Abrir facsímil")</f>
        <v>Abrir facsímil</v>
      </c>
      <c r="K330" s="3" t="s">
        <v>38</v>
      </c>
    </row>
    <row r="331" spans="1:11" ht="42" customHeight="1">
      <c r="A331" s="2" t="s">
        <v>808</v>
      </c>
      <c r="B331" s="2" t="s">
        <v>809</v>
      </c>
      <c r="C331" s="2" t="s">
        <v>68</v>
      </c>
      <c r="D331" s="2" t="s">
        <v>69</v>
      </c>
      <c r="E331" s="5">
        <v>-29596</v>
      </c>
      <c r="F331" s="3" t="s">
        <v>555</v>
      </c>
      <c r="G331" s="3" t="s">
        <v>59</v>
      </c>
      <c r="H331" s="2" t="s">
        <v>36</v>
      </c>
      <c r="I331" s="2" t="s">
        <v>896</v>
      </c>
      <c r="J331" s="3" t="str">
        <f>HYPERLINK("https://www.boe.es/gazeta/dias/1818/12/19/pdfs/GMD-1818-153.pdf#page=6","Abrir facsímil")</f>
        <v>Abrir facsímil</v>
      </c>
      <c r="K331" s="3" t="s">
        <v>38</v>
      </c>
    </row>
    <row r="332" spans="1:11" ht="42" customHeight="1">
      <c r="A332" s="2" t="s">
        <v>808</v>
      </c>
      <c r="B332" s="2" t="s">
        <v>809</v>
      </c>
      <c r="C332" s="2" t="s">
        <v>26</v>
      </c>
      <c r="D332" s="2" t="s">
        <v>27</v>
      </c>
      <c r="E332" s="5">
        <v>-29593</v>
      </c>
      <c r="F332" s="3" t="s">
        <v>185</v>
      </c>
      <c r="G332" s="3" t="s">
        <v>186</v>
      </c>
      <c r="H332" s="2" t="s">
        <v>36</v>
      </c>
      <c r="I332" s="2" t="s">
        <v>897</v>
      </c>
      <c r="J332" s="3" t="str">
        <f>HYPERLINK("https://www.boe.es/gazeta/dias/1818/12/22/pdfs/GMD-1818-154.pdf#page=5","Abrir facsímil")</f>
        <v>Abrir facsímil</v>
      </c>
      <c r="K332" s="3" t="s">
        <v>38</v>
      </c>
    </row>
    <row r="333" spans="1:11" ht="42" customHeight="1">
      <c r="A333" s="2" t="s">
        <v>808</v>
      </c>
      <c r="B333" s="2" t="s">
        <v>809</v>
      </c>
      <c r="C333" s="2" t="s">
        <v>26</v>
      </c>
      <c r="D333" s="2" t="s">
        <v>27</v>
      </c>
      <c r="E333" s="5">
        <v>-29593</v>
      </c>
      <c r="F333" s="3" t="s">
        <v>185</v>
      </c>
      <c r="G333" s="3" t="s">
        <v>59</v>
      </c>
      <c r="H333" s="2" t="s">
        <v>36</v>
      </c>
      <c r="I333" s="2" t="s">
        <v>898</v>
      </c>
      <c r="J333" s="3" t="str">
        <f>HYPERLINK("https://www.boe.es/gazeta/dias/1818/12/22/pdfs/GMD-1818-154.pdf#page=6","Abrir facsímil")</f>
        <v>Abrir facsímil</v>
      </c>
      <c r="K333" s="3" t="s">
        <v>38</v>
      </c>
    </row>
    <row r="334" spans="1:11" ht="42" customHeight="1">
      <c r="A334" s="2" t="s">
        <v>899</v>
      </c>
      <c r="B334" s="2" t="s">
        <v>900</v>
      </c>
      <c r="C334" s="2" t="s">
        <v>57</v>
      </c>
      <c r="D334" s="2" t="s">
        <v>18</v>
      </c>
      <c r="E334" s="5">
        <v>-29845</v>
      </c>
      <c r="F334" s="3" t="s">
        <v>105</v>
      </c>
      <c r="G334" s="3" t="s">
        <v>106</v>
      </c>
      <c r="H334" s="2" t="s">
        <v>36</v>
      </c>
      <c r="I334" s="2" t="s">
        <v>901</v>
      </c>
      <c r="J334" s="3" t="str">
        <f>HYPERLINK("https://www.boe.es/gazeta/dias/1818/04/14/pdfs/GMD-1818-45.pdf#page=5","Abrir facsímil")</f>
        <v>Abrir facsímil</v>
      </c>
      <c r="K334" s="3" t="s">
        <v>38</v>
      </c>
    </row>
    <row r="335" spans="1:11" ht="42" customHeight="1">
      <c r="A335" s="2" t="s">
        <v>902</v>
      </c>
      <c r="B335" s="2" t="s">
        <v>903</v>
      </c>
      <c r="C335" s="2" t="s">
        <v>26</v>
      </c>
      <c r="D335" s="2" t="s">
        <v>27</v>
      </c>
      <c r="E335" s="5">
        <v>-29754</v>
      </c>
      <c r="F335" s="3" t="s">
        <v>466</v>
      </c>
      <c r="G335" s="3" t="s">
        <v>29</v>
      </c>
      <c r="H335" s="2" t="s">
        <v>36</v>
      </c>
      <c r="I335" s="2" t="s">
        <v>904</v>
      </c>
      <c r="J335" s="3" t="str">
        <f>HYPERLINK("https://www.boe.es/gazeta/dias/1818/07/14/pdfs/GMD-1818-84.pdf#page=4","Abrir facsímil")</f>
        <v>Abrir facsímil</v>
      </c>
      <c r="K335" s="3" t="s">
        <v>38</v>
      </c>
    </row>
    <row r="336" spans="1:11" ht="42" customHeight="1">
      <c r="A336" s="2" t="s">
        <v>905</v>
      </c>
      <c r="B336" s="2" t="s">
        <v>906</v>
      </c>
      <c r="C336" s="2" t="s">
        <v>26</v>
      </c>
      <c r="D336" s="2" t="s">
        <v>27</v>
      </c>
      <c r="E336" s="5">
        <v>-29841</v>
      </c>
      <c r="F336" s="3" t="s">
        <v>19</v>
      </c>
      <c r="G336" s="3" t="s">
        <v>59</v>
      </c>
      <c r="H336" s="2" t="s">
        <v>36</v>
      </c>
      <c r="I336" s="2" t="s">
        <v>907</v>
      </c>
      <c r="J336" s="3" t="str">
        <f>HYPERLINK("https://www.boe.es/gazeta/dias/1818/04/18/pdfs/GMD-1818-47.pdf#page=6","Abrir facsímil")</f>
        <v>Abrir facsímil</v>
      </c>
      <c r="K336" s="3" t="s">
        <v>38</v>
      </c>
    </row>
    <row r="337" spans="1:11" ht="42" customHeight="1">
      <c r="A337" s="2" t="s">
        <v>908</v>
      </c>
      <c r="B337" s="2" t="s">
        <v>909</v>
      </c>
      <c r="C337" s="2" t="s">
        <v>68</v>
      </c>
      <c r="D337" s="2" t="s">
        <v>69</v>
      </c>
      <c r="E337" s="5">
        <v>-29864</v>
      </c>
      <c r="F337" s="3" t="s">
        <v>196</v>
      </c>
      <c r="G337" s="3" t="s">
        <v>29</v>
      </c>
      <c r="H337" s="2" t="s">
        <v>36</v>
      </c>
      <c r="I337" s="2" t="s">
        <v>910</v>
      </c>
      <c r="J337" s="3" t="str">
        <f>HYPERLINK("https://www.boe.es/gazeta/dias/1818/03/26/pdfs/GMD-1818-37.pdf#page=4","Abrir facsímil")</f>
        <v>Abrir facsímil</v>
      </c>
      <c r="K337" s="3" t="s">
        <v>38</v>
      </c>
    </row>
    <row r="338" spans="1:11" ht="42" customHeight="1">
      <c r="A338" s="2" t="s">
        <v>911</v>
      </c>
      <c r="B338" s="2" t="s">
        <v>912</v>
      </c>
      <c r="C338" s="2" t="s">
        <v>913</v>
      </c>
      <c r="D338" s="2" t="s">
        <v>69</v>
      </c>
      <c r="E338" s="5">
        <v>-29892</v>
      </c>
      <c r="F338" s="3" t="s">
        <v>39</v>
      </c>
      <c r="G338" s="3" t="s">
        <v>106</v>
      </c>
      <c r="H338" s="2" t="s">
        <v>36</v>
      </c>
      <c r="I338" s="2" t="s">
        <v>914</v>
      </c>
      <c r="J338" s="3" t="str">
        <f>HYPERLINK("https://www.boe.es/gazeta/dias/1818/02/26/pdfs/GMD-1818-25.pdf#page=5","Abrir facsímil")</f>
        <v>Abrir facsímil</v>
      </c>
      <c r="K338" s="3" t="s">
        <v>38</v>
      </c>
    </row>
    <row r="339" spans="1:11" ht="42" customHeight="1">
      <c r="A339" s="2" t="s">
        <v>915</v>
      </c>
      <c r="B339" s="2" t="s">
        <v>916</v>
      </c>
      <c r="C339" s="2" t="s">
        <v>97</v>
      </c>
      <c r="D339" s="2" t="s">
        <v>18</v>
      </c>
      <c r="E339" s="5">
        <v>-29838</v>
      </c>
      <c r="F339" s="3" t="s">
        <v>593</v>
      </c>
      <c r="G339" s="3" t="s">
        <v>106</v>
      </c>
      <c r="H339" s="2" t="s">
        <v>36</v>
      </c>
      <c r="I339" s="2" t="s">
        <v>917</v>
      </c>
      <c r="J339" s="3" t="str">
        <f>HYPERLINK("https://www.boe.es/gazeta/dias/1818/04/21/pdfs/GMD-1818-48.pdf#page=5","Abrir facsímil")</f>
        <v>Abrir facsímil</v>
      </c>
      <c r="K339" s="3" t="s">
        <v>38</v>
      </c>
    </row>
    <row r="340" spans="1:11" ht="42" customHeight="1">
      <c r="A340" s="2" t="s">
        <v>915</v>
      </c>
      <c r="B340" s="2" t="s">
        <v>916</v>
      </c>
      <c r="C340" s="2" t="s">
        <v>215</v>
      </c>
      <c r="D340" s="2" t="s">
        <v>18</v>
      </c>
      <c r="E340" s="5">
        <v>-29661</v>
      </c>
      <c r="F340" s="3" t="s">
        <v>348</v>
      </c>
      <c r="G340" s="3" t="s">
        <v>918</v>
      </c>
      <c r="H340" s="2" t="s">
        <v>36</v>
      </c>
      <c r="I340" s="2" t="s">
        <v>919</v>
      </c>
      <c r="J340" s="3" t="str">
        <f>HYPERLINK("https://www.boe.es/gazeta/dias/1818/10/15/pdfs/GMD-1818-124.pdf#page=4","Abrir facsímil")</f>
        <v>Abrir facsímil</v>
      </c>
      <c r="K340" s="3" t="s">
        <v>38</v>
      </c>
    </row>
    <row r="341" spans="1:11" ht="42" customHeight="1">
      <c r="A341" s="2" t="s">
        <v>915</v>
      </c>
      <c r="B341" s="2" t="s">
        <v>916</v>
      </c>
      <c r="C341" s="2" t="s">
        <v>26</v>
      </c>
      <c r="D341" s="2" t="s">
        <v>27</v>
      </c>
      <c r="E341" s="5">
        <v>-29607</v>
      </c>
      <c r="F341" s="3" t="s">
        <v>704</v>
      </c>
      <c r="G341" s="3" t="s">
        <v>59</v>
      </c>
      <c r="H341" s="2" t="s">
        <v>36</v>
      </c>
      <c r="I341" s="2" t="s">
        <v>920</v>
      </c>
      <c r="J341" s="3" t="str">
        <f>HYPERLINK("https://www.boe.es/gazeta/dias/1818/12/08/pdfs/GMD-1818-148.pdf#page=6","Abrir facsímil")</f>
        <v>Abrir facsímil</v>
      </c>
      <c r="K341" s="3" t="s">
        <v>38</v>
      </c>
    </row>
    <row r="342" spans="1:11" ht="42" customHeight="1">
      <c r="A342" s="2" t="s">
        <v>915</v>
      </c>
      <c r="B342" s="2" t="s">
        <v>916</v>
      </c>
      <c r="C342" s="2" t="s">
        <v>26</v>
      </c>
      <c r="D342" s="2" t="s">
        <v>27</v>
      </c>
      <c r="E342" s="5">
        <v>-29607</v>
      </c>
      <c r="F342" s="3" t="s">
        <v>704</v>
      </c>
      <c r="G342" s="3" t="s">
        <v>20</v>
      </c>
      <c r="H342" s="2" t="s">
        <v>36</v>
      </c>
      <c r="I342" s="2" t="s">
        <v>921</v>
      </c>
      <c r="J342" s="3" t="str">
        <f>HYPERLINK("https://www.boe.es/gazeta/dias/1818/12/08/pdfs/GMD-1818-148.pdf#page=7","Abrir facsímil")</f>
        <v>Abrir facsímil</v>
      </c>
      <c r="K342" s="3" t="s">
        <v>38</v>
      </c>
    </row>
    <row r="343" spans="1:11" ht="42" customHeight="1">
      <c r="A343" s="2" t="s">
        <v>915</v>
      </c>
      <c r="B343" s="2" t="s">
        <v>916</v>
      </c>
      <c r="C343" s="2" t="s">
        <v>17</v>
      </c>
      <c r="D343" s="2" t="s">
        <v>18</v>
      </c>
      <c r="E343" s="5">
        <v>-29605</v>
      </c>
      <c r="F343" s="3" t="s">
        <v>888</v>
      </c>
      <c r="G343" s="3" t="s">
        <v>889</v>
      </c>
      <c r="H343" s="2" t="s">
        <v>36</v>
      </c>
      <c r="I343" s="2" t="s">
        <v>922</v>
      </c>
      <c r="J343" s="3" t="str">
        <f>HYPERLINK("https://www.boe.es/gazeta/dias/1818/12/10/pdfs/GMD-1818-149.pdf#page=6","Abrir facsímil")</f>
        <v>Abrir facsímil</v>
      </c>
      <c r="K343" s="3" t="s">
        <v>38</v>
      </c>
    </row>
    <row r="344" spans="1:11" ht="42" customHeight="1">
      <c r="A344" s="2" t="s">
        <v>923</v>
      </c>
      <c r="B344" s="2" t="s">
        <v>924</v>
      </c>
      <c r="C344" s="2" t="s">
        <v>17</v>
      </c>
      <c r="D344" s="2" t="s">
        <v>18</v>
      </c>
      <c r="E344" s="5">
        <v>-29862</v>
      </c>
      <c r="F344" s="3" t="s">
        <v>925</v>
      </c>
      <c r="G344" s="3" t="s">
        <v>106</v>
      </c>
      <c r="H344" s="2" t="s">
        <v>36</v>
      </c>
      <c r="I344" s="2" t="s">
        <v>926</v>
      </c>
      <c r="J344" s="3" t="str">
        <f>HYPERLINK("https://www.boe.es/gazeta/dias/1818/03/28/pdfs/GMD-1818-38.pdf#page=5","Abrir facsímil")</f>
        <v>Abrir facsímil</v>
      </c>
      <c r="K344" s="3" t="s">
        <v>38</v>
      </c>
    </row>
    <row r="345" spans="1:11" ht="42" customHeight="1">
      <c r="A345" s="2" t="s">
        <v>927</v>
      </c>
      <c r="B345" s="2" t="s">
        <v>928</v>
      </c>
      <c r="C345" s="2" t="s">
        <v>26</v>
      </c>
      <c r="D345" s="2" t="s">
        <v>27</v>
      </c>
      <c r="E345" s="5">
        <v>-29649</v>
      </c>
      <c r="F345" s="3" t="s">
        <v>585</v>
      </c>
      <c r="G345" s="3" t="s">
        <v>106</v>
      </c>
      <c r="H345" s="2" t="s">
        <v>36</v>
      </c>
      <c r="I345" s="2" t="s">
        <v>929</v>
      </c>
      <c r="J345" s="3" t="str">
        <f>HYPERLINK("https://www.boe.es/gazeta/dias/1818/10/27/pdfs/GMD-1818-130.pdf#page=5","Abrir facsímil")</f>
        <v>Abrir facsímil</v>
      </c>
      <c r="K345" s="3" t="s">
        <v>38</v>
      </c>
    </row>
    <row r="346" spans="1:11" ht="42" customHeight="1">
      <c r="A346" s="2" t="s">
        <v>930</v>
      </c>
      <c r="B346" s="2" t="s">
        <v>930</v>
      </c>
      <c r="C346" s="2" t="s">
        <v>26</v>
      </c>
      <c r="D346" s="2" t="s">
        <v>27</v>
      </c>
      <c r="E346" s="5">
        <v>-29743</v>
      </c>
      <c r="F346" s="3" t="s">
        <v>734</v>
      </c>
      <c r="G346" s="3" t="s">
        <v>29</v>
      </c>
      <c r="H346" s="2" t="s">
        <v>36</v>
      </c>
      <c r="I346" s="2" t="s">
        <v>931</v>
      </c>
      <c r="J346" s="3" t="str">
        <f>HYPERLINK("https://www.boe.es/gazeta/dias/1818/07/25/pdfs/GMD-1818-89.pdf#page=4","Abrir facsímil")</f>
        <v>Abrir facsímil</v>
      </c>
      <c r="K346" s="3" t="s">
        <v>38</v>
      </c>
    </row>
    <row r="347" spans="1:11" ht="42" customHeight="1">
      <c r="A347" s="2" t="s">
        <v>932</v>
      </c>
      <c r="B347" s="2" t="s">
        <v>932</v>
      </c>
      <c r="C347" s="2" t="s">
        <v>26</v>
      </c>
      <c r="D347" s="2" t="s">
        <v>27</v>
      </c>
      <c r="E347" s="5">
        <v>-29939</v>
      </c>
      <c r="F347" s="3" t="s">
        <v>110</v>
      </c>
      <c r="G347" s="3" t="s">
        <v>933</v>
      </c>
      <c r="H347" s="2" t="s">
        <v>36</v>
      </c>
      <c r="I347" s="2" t="s">
        <v>934</v>
      </c>
      <c r="J347" s="3" t="str">
        <f>HYPERLINK("https://www.boe.es/gazeta/dias/1818/01/10/pdfs/GMD-1818-5.pdf#page=9","Abrir facsímil")</f>
        <v>Abrir facsímil</v>
      </c>
      <c r="K347" s="3" t="s">
        <v>38</v>
      </c>
    </row>
    <row r="348" spans="1:11" ht="42" customHeight="1">
      <c r="A348" s="2" t="s">
        <v>935</v>
      </c>
      <c r="B348" s="2" t="s">
        <v>936</v>
      </c>
      <c r="C348" s="2" t="s">
        <v>17</v>
      </c>
      <c r="D348" s="2" t="s">
        <v>18</v>
      </c>
      <c r="E348" s="5">
        <v>-29789</v>
      </c>
      <c r="F348" s="3" t="s">
        <v>937</v>
      </c>
      <c r="G348" s="3" t="s">
        <v>59</v>
      </c>
      <c r="H348" s="2" t="s">
        <v>36</v>
      </c>
      <c r="I348" s="2" t="s">
        <v>938</v>
      </c>
      <c r="J348" s="3" t="str">
        <f>HYPERLINK("https://www.boe.es/gazeta/dias/1818/06/09/pdfs/GMD-1818-69.pdf#page=6","Abrir facsímil")</f>
        <v>Abrir facsímil</v>
      </c>
      <c r="K348" s="3" t="s">
        <v>38</v>
      </c>
    </row>
    <row r="349" spans="1:11" ht="42" customHeight="1">
      <c r="A349" s="2" t="s">
        <v>939</v>
      </c>
      <c r="B349" s="2" t="s">
        <v>940</v>
      </c>
      <c r="C349" s="2" t="s">
        <v>68</v>
      </c>
      <c r="D349" s="2" t="s">
        <v>69</v>
      </c>
      <c r="E349" s="5">
        <v>-29705</v>
      </c>
      <c r="F349" s="3" t="s">
        <v>680</v>
      </c>
      <c r="G349" s="3" t="s">
        <v>45</v>
      </c>
      <c r="H349" s="2" t="s">
        <v>36</v>
      </c>
      <c r="I349" s="2" t="s">
        <v>941</v>
      </c>
      <c r="J349" s="3" t="str">
        <f>HYPERLINK("https://www.boe.es/gazeta/dias/1818/09/01/pdfs/GMD-1818-105.pdf#page=8","Abrir facsímil")</f>
        <v>Abrir facsímil</v>
      </c>
      <c r="K349" s="3" t="s">
        <v>38</v>
      </c>
    </row>
    <row r="350" spans="1:11" ht="42" customHeight="1">
      <c r="A350" s="2" t="s">
        <v>942</v>
      </c>
      <c r="B350" s="2" t="s">
        <v>943</v>
      </c>
      <c r="C350" s="2" t="s">
        <v>26</v>
      </c>
      <c r="D350" s="2" t="s">
        <v>27</v>
      </c>
      <c r="E350" s="5">
        <v>-29764</v>
      </c>
      <c r="F350" s="3" t="s">
        <v>464</v>
      </c>
      <c r="G350" s="3" t="s">
        <v>106</v>
      </c>
      <c r="H350" s="2" t="s">
        <v>36</v>
      </c>
      <c r="I350" s="2" t="s">
        <v>944</v>
      </c>
      <c r="J350" s="3" t="str">
        <f>HYPERLINK("https://www.boe.es/gazeta/dias/1818/07/04/pdfs/GMD-1818-80.pdf#page=5","Abrir facsímil")</f>
        <v>Abrir facsímil</v>
      </c>
      <c r="K350" s="3" t="s">
        <v>38</v>
      </c>
    </row>
    <row r="351" spans="1:11" ht="42" customHeight="1">
      <c r="A351" s="2" t="s">
        <v>942</v>
      </c>
      <c r="B351" s="2" t="s">
        <v>943</v>
      </c>
      <c r="C351" s="2" t="s">
        <v>26</v>
      </c>
      <c r="D351" s="2" t="s">
        <v>27</v>
      </c>
      <c r="E351" s="5">
        <v>-29764</v>
      </c>
      <c r="F351" s="3" t="s">
        <v>464</v>
      </c>
      <c r="G351" s="3" t="s">
        <v>59</v>
      </c>
      <c r="H351" s="2" t="s">
        <v>36</v>
      </c>
      <c r="I351" s="2" t="s">
        <v>945</v>
      </c>
      <c r="J351" s="3" t="str">
        <f>HYPERLINK("https://www.boe.es/gazeta/dias/1818/07/04/pdfs/GMD-1818-80.pdf#page=6","Abrir facsímil")</f>
        <v>Abrir facsímil</v>
      </c>
      <c r="K351" s="3" t="s">
        <v>38</v>
      </c>
    </row>
    <row r="352" spans="1:11" ht="42" customHeight="1">
      <c r="A352" s="2" t="s">
        <v>946</v>
      </c>
      <c r="B352" s="2" t="s">
        <v>947</v>
      </c>
      <c r="C352" s="2" t="s">
        <v>57</v>
      </c>
      <c r="D352" s="2" t="s">
        <v>18</v>
      </c>
      <c r="E352" s="5">
        <v>-29792</v>
      </c>
      <c r="F352" s="3" t="s">
        <v>948</v>
      </c>
      <c r="G352" s="3" t="s">
        <v>45</v>
      </c>
      <c r="H352" s="2" t="s">
        <v>36</v>
      </c>
      <c r="I352" s="2" t="s">
        <v>949</v>
      </c>
      <c r="J352" s="3" t="str">
        <f>HYPERLINK("https://www.boe.es/gazeta/dias/1818/06/06/pdfs/GMD-1818-68.pdf#page=8","Abrir facsímil")</f>
        <v>Abrir facsímil</v>
      </c>
      <c r="K352" s="3" t="s">
        <v>38</v>
      </c>
    </row>
    <row r="353" spans="1:11" ht="42" customHeight="1">
      <c r="A353" s="2" t="s">
        <v>946</v>
      </c>
      <c r="B353" s="2" t="s">
        <v>947</v>
      </c>
      <c r="C353" s="2" t="s">
        <v>33</v>
      </c>
      <c r="D353" s="2" t="s">
        <v>18</v>
      </c>
      <c r="E353" s="5">
        <v>-29598</v>
      </c>
      <c r="F353" s="3" t="s">
        <v>98</v>
      </c>
      <c r="G353" s="3" t="s">
        <v>20</v>
      </c>
      <c r="H353" s="2" t="s">
        <v>36</v>
      </c>
      <c r="I353" s="2" t="s">
        <v>950</v>
      </c>
      <c r="J353" s="3" t="str">
        <f>HYPERLINK("https://www.boe.es/gazeta/dias/1818/12/17/pdfs/GMD-1818-152.pdf#page=7","Abrir facsímil")</f>
        <v>Abrir facsímil</v>
      </c>
      <c r="K353" s="3" t="s">
        <v>38</v>
      </c>
    </row>
    <row r="354" spans="1:11" ht="42" customHeight="1">
      <c r="A354" s="2" t="s">
        <v>951</v>
      </c>
      <c r="B354" s="2" t="s">
        <v>952</v>
      </c>
      <c r="C354" s="2" t="s">
        <v>68</v>
      </c>
      <c r="D354" s="2" t="s">
        <v>668</v>
      </c>
      <c r="E354" s="5">
        <v>-29661</v>
      </c>
      <c r="F354" s="3" t="s">
        <v>669</v>
      </c>
      <c r="G354" s="3" t="s">
        <v>85</v>
      </c>
      <c r="H354" s="2" t="s">
        <v>36</v>
      </c>
      <c r="I354" s="2" t="s">
        <v>953</v>
      </c>
      <c r="J354" s="3" t="str">
        <f>HYPERLINK("https://www.boe.es/gazeta/dias/1818/10/15/pdfs/GMD-1818-125E.pdf#page=3","Abrir facsímil")</f>
        <v>Abrir facsímil</v>
      </c>
      <c r="K354" s="3" t="s">
        <v>38</v>
      </c>
    </row>
    <row r="355" spans="1:11" ht="42" customHeight="1">
      <c r="A355" s="2" t="s">
        <v>954</v>
      </c>
      <c r="B355" s="2" t="s">
        <v>955</v>
      </c>
      <c r="C355" s="2" t="s">
        <v>26</v>
      </c>
      <c r="D355" s="2" t="s">
        <v>27</v>
      </c>
      <c r="E355" s="5">
        <v>-29904</v>
      </c>
      <c r="F355" s="3" t="s">
        <v>451</v>
      </c>
      <c r="G355" s="3" t="s">
        <v>106</v>
      </c>
      <c r="H355" s="2" t="s">
        <v>36</v>
      </c>
      <c r="I355" s="2" t="s">
        <v>956</v>
      </c>
      <c r="J355" s="3" t="str">
        <f>HYPERLINK("https://www.boe.es/gazeta/dias/1818/02/14/pdfs/GMD-1818-20.pdf#page=5","Abrir facsímil")</f>
        <v>Abrir facsímil</v>
      </c>
      <c r="K355" s="3" t="s">
        <v>38</v>
      </c>
    </row>
    <row r="356" spans="1:11" ht="42" customHeight="1">
      <c r="A356" s="2" t="s">
        <v>954</v>
      </c>
      <c r="B356" s="2" t="s">
        <v>955</v>
      </c>
      <c r="C356" s="2" t="s">
        <v>26</v>
      </c>
      <c r="D356" s="2" t="s">
        <v>27</v>
      </c>
      <c r="E356" s="5">
        <v>-29904</v>
      </c>
      <c r="F356" s="3" t="s">
        <v>451</v>
      </c>
      <c r="G356" s="3" t="s">
        <v>59</v>
      </c>
      <c r="H356" s="2" t="s">
        <v>36</v>
      </c>
      <c r="I356" s="2" t="s">
        <v>957</v>
      </c>
      <c r="J356" s="3" t="str">
        <f>HYPERLINK("https://www.boe.es/gazeta/dias/1818/02/14/pdfs/GMD-1818-20.pdf#page=6","Abrir facsímil")</f>
        <v>Abrir facsímil</v>
      </c>
      <c r="K356" s="3" t="s">
        <v>38</v>
      </c>
    </row>
    <row r="357" spans="1:11" ht="42" customHeight="1">
      <c r="A357" s="2" t="s">
        <v>958</v>
      </c>
      <c r="B357" s="2" t="s">
        <v>959</v>
      </c>
      <c r="C357" s="2" t="s">
        <v>26</v>
      </c>
      <c r="D357" s="2" t="s">
        <v>27</v>
      </c>
      <c r="E357" s="5">
        <v>-29652</v>
      </c>
      <c r="F357" s="3" t="s">
        <v>741</v>
      </c>
      <c r="G357" s="3" t="s">
        <v>106</v>
      </c>
      <c r="H357" s="2" t="s">
        <v>36</v>
      </c>
      <c r="I357" s="2" t="s">
        <v>960</v>
      </c>
      <c r="J357" s="3" t="str">
        <f>HYPERLINK("https://www.boe.es/gazeta/dias/1818/10/24/pdfs/GMD-1818-129.pdf#page=5","Abrir facsímil")</f>
        <v>Abrir facsímil</v>
      </c>
      <c r="K357" s="3" t="s">
        <v>38</v>
      </c>
    </row>
    <row r="358" spans="1:11" ht="42" customHeight="1">
      <c r="A358" s="2" t="s">
        <v>961</v>
      </c>
      <c r="B358" s="2" t="s">
        <v>962</v>
      </c>
      <c r="C358" s="2" t="s">
        <v>26</v>
      </c>
      <c r="D358" s="2" t="s">
        <v>27</v>
      </c>
      <c r="E358" s="5">
        <v>-29614</v>
      </c>
      <c r="F358" s="3" t="s">
        <v>620</v>
      </c>
      <c r="G358" s="3" t="s">
        <v>963</v>
      </c>
      <c r="H358" s="2" t="s">
        <v>36</v>
      </c>
      <c r="I358" s="2" t="s">
        <v>964</v>
      </c>
      <c r="J358" s="3" t="str">
        <f>HYPERLINK("https://www.boe.es/gazeta/dias/1818/12/01/pdfs/GMD-1818-145.pdf#page=4","Abrir facsímil")</f>
        <v>Abrir facsímil</v>
      </c>
      <c r="K358" s="3" t="s">
        <v>38</v>
      </c>
    </row>
    <row r="359" spans="1:11" ht="42" customHeight="1">
      <c r="A359" s="2" t="s">
        <v>965</v>
      </c>
      <c r="B359" s="2" t="s">
        <v>966</v>
      </c>
      <c r="C359" s="2" t="s">
        <v>26</v>
      </c>
      <c r="D359" s="2" t="s">
        <v>27</v>
      </c>
      <c r="E359" s="5">
        <v>-29841</v>
      </c>
      <c r="F359" s="3" t="s">
        <v>19</v>
      </c>
      <c r="G359" s="3" t="s">
        <v>59</v>
      </c>
      <c r="H359" s="2" t="s">
        <v>36</v>
      </c>
      <c r="I359" s="2" t="s">
        <v>967</v>
      </c>
      <c r="J359" s="3" t="str">
        <f>HYPERLINK("https://www.boe.es/gazeta/dias/1818/04/18/pdfs/GMD-1818-47.pdf#page=6","Abrir facsímil")</f>
        <v>Abrir facsímil</v>
      </c>
      <c r="K359" s="3" t="s">
        <v>38</v>
      </c>
    </row>
    <row r="360" spans="1:11" ht="42" customHeight="1">
      <c r="A360" s="2" t="s">
        <v>968</v>
      </c>
      <c r="B360" s="2" t="s">
        <v>969</v>
      </c>
      <c r="C360" s="2" t="s">
        <v>26</v>
      </c>
      <c r="D360" s="2" t="s">
        <v>27</v>
      </c>
      <c r="E360" s="5">
        <v>-29810</v>
      </c>
      <c r="F360" s="3" t="s">
        <v>222</v>
      </c>
      <c r="G360" s="3" t="s">
        <v>970</v>
      </c>
      <c r="H360" s="2" t="s">
        <v>36</v>
      </c>
      <c r="I360" s="2" t="s">
        <v>971</v>
      </c>
      <c r="J360" s="3" t="str">
        <f>HYPERLINK("https://www.boe.es/gazeta/dias/1818/05/19/pdfs/GMD-1818-60.pdf#page=7","Abrir facsímil")</f>
        <v>Abrir facsímil</v>
      </c>
      <c r="K360" s="3" t="s">
        <v>38</v>
      </c>
    </row>
    <row r="361" spans="1:11" ht="42" customHeight="1">
      <c r="A361" s="2" t="s">
        <v>972</v>
      </c>
      <c r="B361" s="2" t="s">
        <v>973</v>
      </c>
      <c r="C361" s="2" t="s">
        <v>26</v>
      </c>
      <c r="D361" s="2" t="s">
        <v>27</v>
      </c>
      <c r="E361" s="5">
        <v>-29939</v>
      </c>
      <c r="F361" s="3" t="s">
        <v>110</v>
      </c>
      <c r="G361" s="3" t="s">
        <v>933</v>
      </c>
      <c r="H361" s="2" t="s">
        <v>36</v>
      </c>
      <c r="I361" s="2" t="s">
        <v>974</v>
      </c>
      <c r="J361" s="3" t="str">
        <f>HYPERLINK("https://www.boe.es/gazeta/dias/1818/01/10/pdfs/GMD-1818-5.pdf#page=9","Abrir facsímil")</f>
        <v>Abrir facsímil</v>
      </c>
      <c r="K361" s="3" t="s">
        <v>38</v>
      </c>
    </row>
    <row r="362" spans="1:11" ht="42" customHeight="1">
      <c r="A362" s="2" t="s">
        <v>975</v>
      </c>
      <c r="B362" s="2" t="s">
        <v>976</v>
      </c>
      <c r="C362" s="2" t="s">
        <v>57</v>
      </c>
      <c r="D362" s="2" t="s">
        <v>18</v>
      </c>
      <c r="E362" s="5">
        <v>-29908</v>
      </c>
      <c r="F362" s="3" t="s">
        <v>695</v>
      </c>
      <c r="G362" s="3" t="s">
        <v>29</v>
      </c>
      <c r="H362" s="2" t="s">
        <v>21</v>
      </c>
      <c r="I362" s="2" t="s">
        <v>977</v>
      </c>
      <c r="J362" s="3" t="str">
        <f>HYPERLINK("https://www.boe.es/gazeta/dias/1818/02/10/pdfs/GMD-1818-18.pdf#page=4","Abrir facsímil")</f>
        <v>Abrir facsímil</v>
      </c>
      <c r="K362" s="3" t="s">
        <v>23</v>
      </c>
    </row>
    <row r="363" spans="1:11" ht="42" customHeight="1">
      <c r="A363" s="2" t="s">
        <v>975</v>
      </c>
      <c r="B363" s="2" t="s">
        <v>976</v>
      </c>
      <c r="C363" s="2" t="s">
        <v>57</v>
      </c>
      <c r="D363" s="2" t="s">
        <v>18</v>
      </c>
      <c r="E363" s="5">
        <v>-29871</v>
      </c>
      <c r="F363" s="3" t="s">
        <v>641</v>
      </c>
      <c r="G363" s="3" t="s">
        <v>978</v>
      </c>
      <c r="H363" s="2" t="s">
        <v>21</v>
      </c>
      <c r="I363" s="2" t="s">
        <v>979</v>
      </c>
      <c r="J363" s="3" t="str">
        <f>HYPERLINK("https://www.boe.es/gazeta/dias/1818/03/19/pdfs/GMD-1818-34.pdf#page=5","Abrir facsímil")</f>
        <v>Abrir facsímil</v>
      </c>
      <c r="K363" s="3" t="s">
        <v>23</v>
      </c>
    </row>
    <row r="364" spans="1:11" ht="42" customHeight="1">
      <c r="A364" s="2" t="s">
        <v>975</v>
      </c>
      <c r="B364" s="2" t="s">
        <v>976</v>
      </c>
      <c r="C364" s="2" t="s">
        <v>57</v>
      </c>
      <c r="D364" s="2" t="s">
        <v>18</v>
      </c>
      <c r="E364" s="5">
        <v>-29598</v>
      </c>
      <c r="F364" s="3" t="s">
        <v>98</v>
      </c>
      <c r="G364" s="3" t="s">
        <v>20</v>
      </c>
      <c r="H364" s="2" t="s">
        <v>21</v>
      </c>
      <c r="I364" s="2" t="s">
        <v>980</v>
      </c>
      <c r="J364" s="3" t="str">
        <f>HYPERLINK("https://www.boe.es/gazeta/dias/1818/12/17/pdfs/GMD-1818-152.pdf#page=7","Abrir facsímil")</f>
        <v>Abrir facsímil</v>
      </c>
      <c r="K364" s="3" t="s">
        <v>23</v>
      </c>
    </row>
    <row r="365" spans="1:11" ht="42" customHeight="1">
      <c r="A365" s="2" t="s">
        <v>975</v>
      </c>
      <c r="B365" s="2" t="s">
        <v>976</v>
      </c>
      <c r="C365" s="2" t="s">
        <v>57</v>
      </c>
      <c r="D365" s="2" t="s">
        <v>18</v>
      </c>
      <c r="E365" s="5">
        <v>-29596</v>
      </c>
      <c r="F365" s="3" t="s">
        <v>555</v>
      </c>
      <c r="G365" s="3" t="s">
        <v>45</v>
      </c>
      <c r="H365" s="2" t="s">
        <v>21</v>
      </c>
      <c r="I365" s="2" t="s">
        <v>981</v>
      </c>
      <c r="J365" s="3" t="str">
        <f>HYPERLINK("https://www.boe.es/gazeta/dias/1818/12/19/pdfs/GMD-1818-153.pdf#page=8","Abrir facsímil")</f>
        <v>Abrir facsímil</v>
      </c>
      <c r="K365" s="3" t="s">
        <v>23</v>
      </c>
    </row>
    <row r="366" spans="1:11" ht="42" customHeight="1">
      <c r="A366" s="2" t="s">
        <v>982</v>
      </c>
      <c r="B366" s="2" t="s">
        <v>983</v>
      </c>
      <c r="C366" s="2" t="s">
        <v>17</v>
      </c>
      <c r="D366" s="2" t="s">
        <v>18</v>
      </c>
      <c r="E366" s="5">
        <v>-29829</v>
      </c>
      <c r="F366" s="3" t="s">
        <v>44</v>
      </c>
      <c r="G366" s="3" t="s">
        <v>29</v>
      </c>
      <c r="H366" s="2" t="s">
        <v>36</v>
      </c>
      <c r="I366" s="2" t="s">
        <v>984</v>
      </c>
      <c r="J366" s="3" t="str">
        <f>HYPERLINK("https://www.boe.es/gazeta/dias/1818/04/30/pdfs/GMD-1818-52.pdf#page=4","Abrir facsímil")</f>
        <v>Abrir facsímil</v>
      </c>
      <c r="K366" s="3" t="s">
        <v>38</v>
      </c>
    </row>
    <row r="367" spans="1:11" ht="42" customHeight="1">
      <c r="A367" s="2" t="s">
        <v>985</v>
      </c>
      <c r="B367" s="2" t="s">
        <v>986</v>
      </c>
      <c r="C367" s="2" t="s">
        <v>17</v>
      </c>
      <c r="D367" s="2" t="s">
        <v>18</v>
      </c>
      <c r="E367" s="5">
        <v>-29698</v>
      </c>
      <c r="F367" s="3" t="s">
        <v>148</v>
      </c>
      <c r="G367" s="3" t="s">
        <v>59</v>
      </c>
      <c r="H367" s="2" t="s">
        <v>36</v>
      </c>
      <c r="I367" s="2" t="s">
        <v>987</v>
      </c>
      <c r="J367" s="3" t="str">
        <f>HYPERLINK("https://www.boe.es/gazeta/dias/1818/09/08/pdfs/GMD-1818-108.pdf#page=6","Abrir facsímil")</f>
        <v>Abrir facsímil</v>
      </c>
      <c r="K367" s="3" t="s">
        <v>38</v>
      </c>
    </row>
    <row r="368" spans="1:11" ht="42" customHeight="1">
      <c r="A368" s="2" t="s">
        <v>988</v>
      </c>
      <c r="B368" s="2" t="s">
        <v>989</v>
      </c>
      <c r="C368" s="2" t="s">
        <v>63</v>
      </c>
      <c r="D368" s="2" t="s">
        <v>18</v>
      </c>
      <c r="E368" s="5">
        <v>-29848</v>
      </c>
      <c r="F368" s="3" t="s">
        <v>571</v>
      </c>
      <c r="G368" s="3" t="s">
        <v>20</v>
      </c>
      <c r="H368" s="2" t="s">
        <v>36</v>
      </c>
      <c r="I368" s="2" t="s">
        <v>990</v>
      </c>
      <c r="J368" s="3" t="str">
        <f>HYPERLINK("https://www.boe.es/gazeta/dias/1818/04/11/pdfs/GMD-1818-44.pdf#page=7","Abrir facsímil")</f>
        <v>Abrir facsímil</v>
      </c>
      <c r="K368" s="3" t="s">
        <v>38</v>
      </c>
    </row>
    <row r="369" spans="1:11" ht="42" customHeight="1">
      <c r="A369" s="2" t="s">
        <v>991</v>
      </c>
      <c r="B369" s="2" t="s">
        <v>992</v>
      </c>
      <c r="C369" s="2" t="s">
        <v>68</v>
      </c>
      <c r="D369" s="2" t="s">
        <v>69</v>
      </c>
      <c r="E369" s="5">
        <v>-29731</v>
      </c>
      <c r="F369" s="3" t="s">
        <v>299</v>
      </c>
      <c r="G369" s="3" t="s">
        <v>45</v>
      </c>
      <c r="H369" s="2" t="s">
        <v>36</v>
      </c>
      <c r="I369" s="2" t="s">
        <v>993</v>
      </c>
      <c r="J369" s="3" t="str">
        <f>HYPERLINK("https://www.boe.es/gazeta/dias/1818/08/06/pdfs/GMD-1818-94.pdf#page=8","Abrir facsímil")</f>
        <v>Abrir facsímil</v>
      </c>
      <c r="K369" s="3" t="s">
        <v>38</v>
      </c>
    </row>
    <row r="370" spans="1:11" ht="42" customHeight="1">
      <c r="A370" s="2" t="s">
        <v>991</v>
      </c>
      <c r="B370" s="2" t="s">
        <v>992</v>
      </c>
      <c r="C370" s="2" t="s">
        <v>17</v>
      </c>
      <c r="D370" s="2" t="s">
        <v>18</v>
      </c>
      <c r="E370" s="5">
        <v>-29656</v>
      </c>
      <c r="F370" s="3" t="s">
        <v>601</v>
      </c>
      <c r="G370" s="3" t="s">
        <v>45</v>
      </c>
      <c r="H370" s="2" t="s">
        <v>36</v>
      </c>
      <c r="I370" s="2" t="s">
        <v>994</v>
      </c>
      <c r="J370" s="3" t="str">
        <f>HYPERLINK("https://www.boe.es/gazeta/dias/1818/10/20/pdfs/GMD-1818-127.pdf#page=8","Abrir facsímil")</f>
        <v>Abrir facsímil</v>
      </c>
      <c r="K370" s="3" t="s">
        <v>38</v>
      </c>
    </row>
    <row r="371" spans="1:11" ht="42" customHeight="1">
      <c r="A371" s="2" t="s">
        <v>991</v>
      </c>
      <c r="B371" s="2" t="s">
        <v>992</v>
      </c>
      <c r="C371" s="2" t="s">
        <v>68</v>
      </c>
      <c r="D371" s="2" t="s">
        <v>69</v>
      </c>
      <c r="E371" s="5">
        <v>-29617</v>
      </c>
      <c r="F371" s="3" t="s">
        <v>995</v>
      </c>
      <c r="G371" s="3" t="s">
        <v>20</v>
      </c>
      <c r="H371" s="2" t="s">
        <v>36</v>
      </c>
      <c r="I371" s="2" t="s">
        <v>996</v>
      </c>
      <c r="J371" s="3" t="str">
        <f>HYPERLINK("https://www.boe.es/gazeta/dias/1818/11/28/pdfs/GMD-1818-144.pdf#page=7","Abrir facsímil")</f>
        <v>Abrir facsímil</v>
      </c>
      <c r="K371" s="3" t="s">
        <v>38</v>
      </c>
    </row>
    <row r="372" spans="1:11" ht="42" customHeight="1">
      <c r="A372" s="2" t="s">
        <v>997</v>
      </c>
      <c r="B372" s="2" t="s">
        <v>998</v>
      </c>
      <c r="C372" s="2" t="s">
        <v>17</v>
      </c>
      <c r="D372" s="2" t="s">
        <v>18</v>
      </c>
      <c r="E372" s="5">
        <v>-29759</v>
      </c>
      <c r="F372" s="3" t="s">
        <v>405</v>
      </c>
      <c r="G372" s="3" t="s">
        <v>59</v>
      </c>
      <c r="H372" s="2" t="s">
        <v>21</v>
      </c>
      <c r="I372" s="2" t="s">
        <v>999</v>
      </c>
      <c r="J372" s="3" t="str">
        <f>HYPERLINK("https://www.boe.es/gazeta/dias/1818/07/09/pdfs/GMD-1818-82.pdf#page=6","Abrir facsímil")</f>
        <v>Abrir facsímil</v>
      </c>
      <c r="K372" s="3" t="s">
        <v>23</v>
      </c>
    </row>
    <row r="373" spans="1:11" ht="42" customHeight="1">
      <c r="A373" s="2" t="s">
        <v>1000</v>
      </c>
      <c r="B373" s="2" t="s">
        <v>1001</v>
      </c>
      <c r="C373" s="2" t="s">
        <v>57</v>
      </c>
      <c r="D373" s="2" t="s">
        <v>18</v>
      </c>
      <c r="E373" s="5">
        <v>-29584</v>
      </c>
      <c r="F373" s="3" t="s">
        <v>1002</v>
      </c>
      <c r="G373" s="3" t="s">
        <v>45</v>
      </c>
      <c r="H373" s="2" t="s">
        <v>21</v>
      </c>
      <c r="I373" s="2" t="s">
        <v>1003</v>
      </c>
      <c r="J373" s="3" t="str">
        <f>HYPERLINK("https://www.boe.es/gazeta/dias/1818/12/31/pdfs/GMD-1818-159.pdf#page=8","Abrir facsímil")</f>
        <v>Abrir facsímil</v>
      </c>
      <c r="K373" s="3" t="s">
        <v>23</v>
      </c>
    </row>
    <row r="374" spans="1:11" ht="42" customHeight="1">
      <c r="A374" s="2" t="s">
        <v>1004</v>
      </c>
      <c r="B374" s="2" t="s">
        <v>1004</v>
      </c>
      <c r="C374" s="2" t="s">
        <v>26</v>
      </c>
      <c r="D374" s="2" t="s">
        <v>27</v>
      </c>
      <c r="E374" s="5">
        <v>-29845</v>
      </c>
      <c r="F374" s="3" t="s">
        <v>105</v>
      </c>
      <c r="G374" s="3" t="s">
        <v>59</v>
      </c>
      <c r="H374" s="2" t="s">
        <v>36</v>
      </c>
      <c r="I374" s="2" t="s">
        <v>1005</v>
      </c>
      <c r="J374" s="3" t="str">
        <f>HYPERLINK("https://www.boe.es/gazeta/dias/1818/04/14/pdfs/GMD-1818-45.pdf#page=6","Abrir facsímil")</f>
        <v>Abrir facsímil</v>
      </c>
      <c r="K374" s="3" t="s">
        <v>38</v>
      </c>
    </row>
    <row r="375" spans="1:11" ht="42" customHeight="1">
      <c r="A375" s="2" t="s">
        <v>1006</v>
      </c>
      <c r="B375" s="2" t="s">
        <v>1007</v>
      </c>
      <c r="C375" s="2" t="s">
        <v>26</v>
      </c>
      <c r="D375" s="2" t="s">
        <v>27</v>
      </c>
      <c r="E375" s="5">
        <v>-29845</v>
      </c>
      <c r="F375" s="3" t="s">
        <v>105</v>
      </c>
      <c r="G375" s="3" t="s">
        <v>59</v>
      </c>
      <c r="H375" s="2" t="s">
        <v>36</v>
      </c>
      <c r="I375" s="2" t="s">
        <v>1008</v>
      </c>
      <c r="J375" s="3" t="str">
        <f>HYPERLINK("https://www.boe.es/gazeta/dias/1818/04/14/pdfs/GMD-1818-45.pdf#page=6","Abrir facsímil")</f>
        <v>Abrir facsímil</v>
      </c>
      <c r="K375" s="3" t="s">
        <v>38</v>
      </c>
    </row>
    <row r="376" spans="1:11" ht="42" customHeight="1">
      <c r="A376" s="2" t="s">
        <v>1009</v>
      </c>
      <c r="B376" s="2" t="s">
        <v>1010</v>
      </c>
      <c r="C376" s="2" t="s">
        <v>17</v>
      </c>
      <c r="D376" s="2" t="s">
        <v>18</v>
      </c>
      <c r="E376" s="5">
        <v>-29663</v>
      </c>
      <c r="F376" s="3" t="s">
        <v>1011</v>
      </c>
      <c r="G376" s="3" t="s">
        <v>59</v>
      </c>
      <c r="H376" s="2" t="s">
        <v>36</v>
      </c>
      <c r="I376" s="2" t="s">
        <v>1012</v>
      </c>
      <c r="J376" s="3" t="str">
        <f>HYPERLINK("https://www.boe.es/gazeta/dias/1818/10/13/pdfs/GMD-1818-123.pdf#page=6","Abrir facsímil")</f>
        <v>Abrir facsímil</v>
      </c>
      <c r="K376" s="3" t="s">
        <v>38</v>
      </c>
    </row>
    <row r="377" spans="1:11" ht="42" customHeight="1">
      <c r="A377" s="2" t="s">
        <v>1013</v>
      </c>
      <c r="B377" s="2" t="s">
        <v>1014</v>
      </c>
      <c r="C377" s="2" t="s">
        <v>68</v>
      </c>
      <c r="D377" s="2" t="s">
        <v>69</v>
      </c>
      <c r="E377" s="5">
        <v>-29670</v>
      </c>
      <c r="F377" s="3" t="s">
        <v>48</v>
      </c>
      <c r="G377" s="3" t="s">
        <v>45</v>
      </c>
      <c r="H377" s="2" t="s">
        <v>36</v>
      </c>
      <c r="I377" s="2" t="s">
        <v>1015</v>
      </c>
      <c r="J377" s="3" t="str">
        <f>HYPERLINK("https://www.boe.es/gazeta/dias/1818/10/06/pdfs/GMD-1818-120.pdf#page=8","Abrir facsímil")</f>
        <v>Abrir facsímil</v>
      </c>
      <c r="K377" s="3" t="s">
        <v>38</v>
      </c>
    </row>
    <row r="378" spans="1:11" ht="42" customHeight="1">
      <c r="A378" s="2" t="s">
        <v>1016</v>
      </c>
      <c r="B378" s="2" t="s">
        <v>1016</v>
      </c>
      <c r="C378" s="2" t="s">
        <v>26</v>
      </c>
      <c r="D378" s="2" t="s">
        <v>27</v>
      </c>
      <c r="E378" s="5">
        <v>-29918</v>
      </c>
      <c r="F378" s="3" t="s">
        <v>89</v>
      </c>
      <c r="G378" s="3" t="s">
        <v>366</v>
      </c>
      <c r="H378" s="2" t="s">
        <v>36</v>
      </c>
      <c r="I378" s="2" t="s">
        <v>1017</v>
      </c>
      <c r="J378" s="3" t="str">
        <f>HYPERLINK("https://www.boe.es/gazeta/dias/1818/01/31/pdfs/GMD-1818-14.pdf#page=5","Abrir facsímil")</f>
        <v>Abrir facsímil</v>
      </c>
      <c r="K378" s="3" t="s">
        <v>38</v>
      </c>
    </row>
    <row r="379" spans="1:11" ht="42" customHeight="1">
      <c r="A379" s="2" t="s">
        <v>1018</v>
      </c>
      <c r="B379" s="2" t="s">
        <v>1019</v>
      </c>
      <c r="C379" s="2" t="s">
        <v>17</v>
      </c>
      <c r="D379" s="2" t="s">
        <v>18</v>
      </c>
      <c r="E379" s="5">
        <v>-29698</v>
      </c>
      <c r="F379" s="3" t="s">
        <v>148</v>
      </c>
      <c r="G379" s="3" t="s">
        <v>106</v>
      </c>
      <c r="H379" s="2" t="s">
        <v>36</v>
      </c>
      <c r="I379" s="2" t="s">
        <v>1020</v>
      </c>
      <c r="J379" s="3" t="str">
        <f>HYPERLINK("https://www.boe.es/gazeta/dias/1818/09/08/pdfs/GMD-1818-108.pdf#page=5","Abrir facsímil")</f>
        <v>Abrir facsímil</v>
      </c>
      <c r="K379" s="3" t="s">
        <v>38</v>
      </c>
    </row>
    <row r="380" spans="1:11" ht="42" customHeight="1">
      <c r="A380" s="2" t="s">
        <v>1021</v>
      </c>
      <c r="B380" s="2" t="s">
        <v>1022</v>
      </c>
      <c r="C380" s="2" t="s">
        <v>26</v>
      </c>
      <c r="D380" s="2" t="s">
        <v>27</v>
      </c>
      <c r="E380" s="5">
        <v>-29918</v>
      </c>
      <c r="F380" s="3" t="s">
        <v>89</v>
      </c>
      <c r="G380" s="3" t="s">
        <v>366</v>
      </c>
      <c r="H380" s="2" t="s">
        <v>36</v>
      </c>
      <c r="I380" s="2" t="s">
        <v>1023</v>
      </c>
      <c r="J380" s="3" t="str">
        <f>HYPERLINK("https://www.boe.es/gazeta/dias/1818/01/31/pdfs/GMD-1818-14.pdf#page=5","Abrir facsímil")</f>
        <v>Abrir facsímil</v>
      </c>
      <c r="K380" s="3" t="s">
        <v>38</v>
      </c>
    </row>
    <row r="381" spans="1:11" ht="42" customHeight="1">
      <c r="A381" s="2" t="s">
        <v>1024</v>
      </c>
      <c r="B381" s="2" t="s">
        <v>1025</v>
      </c>
      <c r="C381" s="2" t="s">
        <v>26</v>
      </c>
      <c r="D381" s="2" t="s">
        <v>27</v>
      </c>
      <c r="E381" s="5">
        <v>-29710</v>
      </c>
      <c r="F381" s="3" t="s">
        <v>1026</v>
      </c>
      <c r="G381" s="3" t="s">
        <v>1027</v>
      </c>
      <c r="H381" s="2" t="s">
        <v>36</v>
      </c>
      <c r="I381" s="2" t="s">
        <v>1028</v>
      </c>
      <c r="J381" s="3" t="str">
        <f>HYPERLINK("https://www.boe.es/gazeta/dias/1818/08/27/pdfs/GMD-1818-103.pdf#page=6","Abrir facsímil")</f>
        <v>Abrir facsímil</v>
      </c>
      <c r="K381" s="3" t="s">
        <v>38</v>
      </c>
    </row>
    <row r="382" spans="1:11" ht="42" customHeight="1">
      <c r="A382" s="2" t="s">
        <v>1029</v>
      </c>
      <c r="B382" s="2" t="s">
        <v>1030</v>
      </c>
      <c r="C382" s="2" t="s">
        <v>57</v>
      </c>
      <c r="D382" s="2" t="s">
        <v>18</v>
      </c>
      <c r="E382" s="5">
        <v>-29785</v>
      </c>
      <c r="F382" s="3" t="s">
        <v>1031</v>
      </c>
      <c r="G382" s="3" t="s">
        <v>20</v>
      </c>
      <c r="H382" s="2" t="s">
        <v>36</v>
      </c>
      <c r="I382" s="2" t="s">
        <v>1032</v>
      </c>
      <c r="J382" s="3" t="str">
        <f>HYPERLINK("https://www.boe.es/gazeta/dias/1818/06/13/pdfs/GMD-1818-71.pdf#page=7","Abrir facsímil")</f>
        <v>Abrir facsímil</v>
      </c>
      <c r="K382" s="3" t="s">
        <v>38</v>
      </c>
    </row>
    <row r="383" spans="1:11" ht="42" customHeight="1">
      <c r="A383" s="2" t="s">
        <v>1033</v>
      </c>
      <c r="B383" s="2" t="s">
        <v>1034</v>
      </c>
      <c r="C383" s="2" t="s">
        <v>17</v>
      </c>
      <c r="D383" s="2" t="s">
        <v>18</v>
      </c>
      <c r="E383" s="5">
        <v>-29680</v>
      </c>
      <c r="F383" s="3" t="s">
        <v>865</v>
      </c>
      <c r="G383" s="3" t="s">
        <v>45</v>
      </c>
      <c r="H383" s="2" t="s">
        <v>36</v>
      </c>
      <c r="I383" s="2" t="s">
        <v>1035</v>
      </c>
      <c r="J383" s="3" t="str">
        <f>HYPERLINK("https://www.boe.es/gazeta/dias/1818/09/26/pdfs/GMD-1818-116.pdf#page=8","Abrir facsímil")</f>
        <v>Abrir facsímil</v>
      </c>
      <c r="K383" s="3" t="s">
        <v>38</v>
      </c>
    </row>
    <row r="384" spans="1:11" ht="42" customHeight="1">
      <c r="A384" s="2" t="s">
        <v>1036</v>
      </c>
      <c r="B384" s="2" t="s">
        <v>1037</v>
      </c>
      <c r="C384" s="2" t="s">
        <v>26</v>
      </c>
      <c r="D384" s="2" t="s">
        <v>27</v>
      </c>
      <c r="E384" s="5">
        <v>-29738</v>
      </c>
      <c r="F384" s="3" t="s">
        <v>263</v>
      </c>
      <c r="G384" s="3" t="s">
        <v>45</v>
      </c>
      <c r="H384" s="2" t="s">
        <v>36</v>
      </c>
      <c r="I384" s="2" t="s">
        <v>1038</v>
      </c>
      <c r="J384" s="3" t="str">
        <f>HYPERLINK("https://www.boe.es/gazeta/dias/1818/07/30/pdfs/GMD-1818-91.pdf#page=8","Abrir facsímil")</f>
        <v>Abrir facsímil</v>
      </c>
      <c r="K384" s="3" t="s">
        <v>38</v>
      </c>
    </row>
    <row r="385" spans="1:11" ht="42" customHeight="1">
      <c r="A385" s="2" t="s">
        <v>1039</v>
      </c>
      <c r="B385" s="2" t="s">
        <v>1040</v>
      </c>
      <c r="C385" s="2" t="s">
        <v>17</v>
      </c>
      <c r="D385" s="2" t="s">
        <v>18</v>
      </c>
      <c r="E385" s="5">
        <v>-29663</v>
      </c>
      <c r="F385" s="3" t="s">
        <v>1011</v>
      </c>
      <c r="G385" s="3" t="s">
        <v>59</v>
      </c>
      <c r="H385" s="2" t="s">
        <v>36</v>
      </c>
      <c r="I385" s="2" t="s">
        <v>1041</v>
      </c>
      <c r="J385" s="3" t="str">
        <f>HYPERLINK("https://www.boe.es/gazeta/dias/1818/10/13/pdfs/GMD-1818-123.pdf#page=6","Abrir facsímil")</f>
        <v>Abrir facsímil</v>
      </c>
      <c r="K385" s="3" t="s">
        <v>38</v>
      </c>
    </row>
    <row r="386" spans="1:11" ht="42" customHeight="1">
      <c r="A386" s="2" t="s">
        <v>1042</v>
      </c>
      <c r="B386" s="2" t="s">
        <v>1042</v>
      </c>
      <c r="C386" s="2" t="s">
        <v>26</v>
      </c>
      <c r="D386" s="2" t="s">
        <v>27</v>
      </c>
      <c r="E386" s="5">
        <v>-29948</v>
      </c>
      <c r="F386" s="3" t="s">
        <v>199</v>
      </c>
      <c r="G386" s="3" t="s">
        <v>29</v>
      </c>
      <c r="H386" s="2" t="s">
        <v>36</v>
      </c>
      <c r="I386" s="2" t="s">
        <v>1043</v>
      </c>
      <c r="J386" s="3" t="str">
        <f>HYPERLINK("https://www.boe.es/gazeta/dias/1818/01/01/pdfs/GMD-1818-1.pdf#page=4","Abrir facsímil")</f>
        <v>Abrir facsímil</v>
      </c>
      <c r="K386" s="3" t="s">
        <v>38</v>
      </c>
    </row>
    <row r="387" spans="1:11" ht="42" customHeight="1">
      <c r="A387" s="2" t="s">
        <v>1044</v>
      </c>
      <c r="B387" s="2" t="s">
        <v>1045</v>
      </c>
      <c r="C387" s="2" t="s">
        <v>26</v>
      </c>
      <c r="D387" s="2" t="s">
        <v>27</v>
      </c>
      <c r="E387" s="5">
        <v>-29948</v>
      </c>
      <c r="F387" s="3" t="s">
        <v>199</v>
      </c>
      <c r="G387" s="3" t="s">
        <v>29</v>
      </c>
      <c r="H387" s="2" t="s">
        <v>36</v>
      </c>
      <c r="I387" s="2" t="s">
        <v>1046</v>
      </c>
      <c r="J387" s="3" t="str">
        <f>HYPERLINK("https://www.boe.es/gazeta/dias/1818/01/01/pdfs/GMD-1818-1.pdf#page=4","Abrir facsímil")</f>
        <v>Abrir facsímil</v>
      </c>
      <c r="K387" s="3" t="s">
        <v>38</v>
      </c>
    </row>
    <row r="388" spans="1:11" ht="42" customHeight="1">
      <c r="A388" s="2" t="s">
        <v>1044</v>
      </c>
      <c r="B388" s="2" t="s">
        <v>1045</v>
      </c>
      <c r="C388" s="2" t="s">
        <v>26</v>
      </c>
      <c r="D388" s="2" t="s">
        <v>27</v>
      </c>
      <c r="E388" s="5">
        <v>-29948</v>
      </c>
      <c r="F388" s="3" t="s">
        <v>199</v>
      </c>
      <c r="G388" s="3" t="s">
        <v>106</v>
      </c>
      <c r="H388" s="2" t="s">
        <v>36</v>
      </c>
      <c r="I388" s="2" t="s">
        <v>1047</v>
      </c>
      <c r="J388" s="3" t="str">
        <f>HYPERLINK("https://www.boe.es/gazeta/dias/1818/01/01/pdfs/GMD-1818-1.pdf#page=5","Abrir facsímil")</f>
        <v>Abrir facsímil</v>
      </c>
      <c r="K388" s="3" t="s">
        <v>38</v>
      </c>
    </row>
    <row r="389" spans="1:11" ht="42" customHeight="1">
      <c r="A389" s="2" t="s">
        <v>1048</v>
      </c>
      <c r="B389" s="2" t="s">
        <v>1049</v>
      </c>
      <c r="C389" s="2" t="s">
        <v>68</v>
      </c>
      <c r="D389" s="2" t="s">
        <v>69</v>
      </c>
      <c r="E389" s="5">
        <v>-29899</v>
      </c>
      <c r="F389" s="3" t="s">
        <v>232</v>
      </c>
      <c r="G389" s="3" t="s">
        <v>20</v>
      </c>
      <c r="H389" s="2" t="s">
        <v>36</v>
      </c>
      <c r="I389" s="2" t="s">
        <v>1050</v>
      </c>
      <c r="J389" s="3" t="str">
        <f>HYPERLINK("https://www.boe.es/gazeta/dias/1818/02/19/pdfs/GMD-1818-22.pdf#page=7","Abrir facsímil")</f>
        <v>Abrir facsímil</v>
      </c>
      <c r="K389" s="3" t="s">
        <v>38</v>
      </c>
    </row>
    <row r="390" spans="1:11" ht="42" customHeight="1">
      <c r="A390" s="2" t="s">
        <v>1048</v>
      </c>
      <c r="B390" s="2" t="s">
        <v>1049</v>
      </c>
      <c r="C390" s="2" t="s">
        <v>63</v>
      </c>
      <c r="D390" s="2" t="s">
        <v>18</v>
      </c>
      <c r="E390" s="5">
        <v>-29850</v>
      </c>
      <c r="F390" s="3" t="s">
        <v>1051</v>
      </c>
      <c r="G390" s="3" t="s">
        <v>29</v>
      </c>
      <c r="H390" s="2" t="s">
        <v>36</v>
      </c>
      <c r="I390" s="2" t="s">
        <v>1052</v>
      </c>
      <c r="J390" s="3" t="str">
        <f>HYPERLINK("https://www.boe.es/gazeta/dias/1818/04/09/pdfs/GMD-1818-43.pdf#page=4","Abrir facsímil")</f>
        <v>Abrir facsímil</v>
      </c>
      <c r="K390" s="3" t="s">
        <v>38</v>
      </c>
    </row>
    <row r="391" spans="1:11" ht="42" customHeight="1">
      <c r="A391" s="2" t="s">
        <v>1048</v>
      </c>
      <c r="B391" s="2" t="s">
        <v>1049</v>
      </c>
      <c r="C391" s="2" t="s">
        <v>33</v>
      </c>
      <c r="D391" s="2" t="s">
        <v>18</v>
      </c>
      <c r="E391" s="5">
        <v>-29628</v>
      </c>
      <c r="F391" s="3" t="s">
        <v>58</v>
      </c>
      <c r="G391" s="3" t="s">
        <v>106</v>
      </c>
      <c r="H391" s="2" t="s">
        <v>36</v>
      </c>
      <c r="I391" s="2" t="s">
        <v>1053</v>
      </c>
      <c r="J391" s="3" t="str">
        <f>HYPERLINK("https://www.boe.es/gazeta/dias/1818/11/17/pdfs/GMD-1818-139.pdf#page=5","Abrir facsímil")</f>
        <v>Abrir facsímil</v>
      </c>
      <c r="K391" s="3" t="s">
        <v>38</v>
      </c>
    </row>
    <row r="392" spans="1:11" ht="42" customHeight="1">
      <c r="A392" s="2" t="s">
        <v>1054</v>
      </c>
      <c r="B392" s="2" t="s">
        <v>1055</v>
      </c>
      <c r="C392" s="2" t="s">
        <v>63</v>
      </c>
      <c r="D392" s="2" t="s">
        <v>18</v>
      </c>
      <c r="E392" s="5">
        <v>-29866</v>
      </c>
      <c r="F392" s="3" t="s">
        <v>828</v>
      </c>
      <c r="G392" s="3" t="s">
        <v>59</v>
      </c>
      <c r="H392" s="2" t="s">
        <v>36</v>
      </c>
      <c r="I392" s="2" t="s">
        <v>1056</v>
      </c>
      <c r="J392" s="3" t="str">
        <f>HYPERLINK("https://www.boe.es/gazeta/dias/1818/03/24/pdfs/GMD-1818-36.pdf#page=6","Abrir facsímil")</f>
        <v>Abrir facsímil</v>
      </c>
      <c r="K392" s="3" t="s">
        <v>38</v>
      </c>
    </row>
    <row r="393" spans="1:11" ht="42" customHeight="1">
      <c r="A393" s="2" t="s">
        <v>1057</v>
      </c>
      <c r="B393" s="2" t="s">
        <v>1058</v>
      </c>
      <c r="C393" s="2" t="s">
        <v>17</v>
      </c>
      <c r="D393" s="2" t="s">
        <v>18</v>
      </c>
      <c r="E393" s="5">
        <v>-29645</v>
      </c>
      <c r="F393" s="3" t="s">
        <v>577</v>
      </c>
      <c r="G393" s="3" t="s">
        <v>59</v>
      </c>
      <c r="H393" s="2" t="s">
        <v>36</v>
      </c>
      <c r="I393" s="2" t="s">
        <v>1059</v>
      </c>
      <c r="J393" s="3" t="str">
        <f>HYPERLINK("https://www.boe.es/gazeta/dias/1818/10/31/pdfs/GMD-1818-132.pdf#page=6","Abrir facsímil")</f>
        <v>Abrir facsímil</v>
      </c>
      <c r="K393" s="3" t="s">
        <v>38</v>
      </c>
    </row>
    <row r="394" spans="1:11" ht="42" customHeight="1">
      <c r="A394" s="2" t="s">
        <v>1060</v>
      </c>
      <c r="B394" s="2" t="s">
        <v>1061</v>
      </c>
      <c r="C394" s="2" t="s">
        <v>17</v>
      </c>
      <c r="D394" s="2" t="s">
        <v>18</v>
      </c>
      <c r="E394" s="5">
        <v>-29645</v>
      </c>
      <c r="F394" s="3" t="s">
        <v>577</v>
      </c>
      <c r="G394" s="3" t="s">
        <v>59</v>
      </c>
      <c r="H394" s="2" t="s">
        <v>36</v>
      </c>
      <c r="I394" s="2" t="s">
        <v>1062</v>
      </c>
      <c r="J394" s="3" t="str">
        <f>HYPERLINK("https://www.boe.es/gazeta/dias/1818/10/31/pdfs/GMD-1818-132.pdf#page=6","Abrir facsímil")</f>
        <v>Abrir facsímil</v>
      </c>
      <c r="K394" s="3" t="s">
        <v>38</v>
      </c>
    </row>
    <row r="395" spans="1:11" ht="42" customHeight="1">
      <c r="A395" s="2" t="s">
        <v>1063</v>
      </c>
      <c r="B395" s="2" t="s">
        <v>1064</v>
      </c>
      <c r="C395" s="2" t="s">
        <v>26</v>
      </c>
      <c r="D395" s="2" t="s">
        <v>27</v>
      </c>
      <c r="E395" s="5">
        <v>-29890</v>
      </c>
      <c r="F395" s="3" t="s">
        <v>393</v>
      </c>
      <c r="G395" s="3" t="s">
        <v>106</v>
      </c>
      <c r="H395" s="2" t="s">
        <v>36</v>
      </c>
      <c r="I395" s="2" t="s">
        <v>1065</v>
      </c>
      <c r="J395" s="3" t="str">
        <f>HYPERLINK("https://www.boe.es/gazeta/dias/1818/02/28/pdfs/GMD-1818-26.pdf#page=5","Abrir facsímil")</f>
        <v>Abrir facsímil</v>
      </c>
      <c r="K395" s="3" t="s">
        <v>38</v>
      </c>
    </row>
    <row r="396" spans="1:11" ht="42" customHeight="1">
      <c r="A396" s="2" t="s">
        <v>1066</v>
      </c>
      <c r="B396" s="2" t="s">
        <v>1067</v>
      </c>
      <c r="C396" s="2" t="s">
        <v>26</v>
      </c>
      <c r="D396" s="2" t="s">
        <v>27</v>
      </c>
      <c r="E396" s="5">
        <v>-29808</v>
      </c>
      <c r="F396" s="3" t="s">
        <v>80</v>
      </c>
      <c r="G396" s="3" t="s">
        <v>20</v>
      </c>
      <c r="H396" s="2" t="s">
        <v>36</v>
      </c>
      <c r="I396" s="2" t="s">
        <v>1068</v>
      </c>
      <c r="J396" s="3" t="str">
        <f>HYPERLINK("https://www.boe.es/gazeta/dias/1818/05/21/pdfs/GMD-1818-61.pdf#page=7","Abrir facsímil")</f>
        <v>Abrir facsímil</v>
      </c>
      <c r="K396" s="3" t="s">
        <v>38</v>
      </c>
    </row>
    <row r="397" spans="1:11" ht="42" customHeight="1">
      <c r="A397" s="2" t="s">
        <v>1069</v>
      </c>
      <c r="B397" s="2" t="s">
        <v>1070</v>
      </c>
      <c r="C397" s="2" t="s">
        <v>57</v>
      </c>
      <c r="D397" s="2" t="s">
        <v>18</v>
      </c>
      <c r="E397" s="5">
        <v>-29806</v>
      </c>
      <c r="F397" s="3" t="s">
        <v>84</v>
      </c>
      <c r="G397" s="3" t="s">
        <v>45</v>
      </c>
      <c r="H397" s="2" t="s">
        <v>36</v>
      </c>
      <c r="I397" s="2" t="s">
        <v>1071</v>
      </c>
      <c r="J397" s="3" t="str">
        <f>HYPERLINK("https://www.boe.es/gazeta/dias/1818/05/23/pdfs/GMD-1818-62.pdf#page=8","Abrir facsímil")</f>
        <v>Abrir facsímil</v>
      </c>
      <c r="K397" s="3" t="s">
        <v>38</v>
      </c>
    </row>
    <row r="398" spans="1:11" ht="42" customHeight="1">
      <c r="A398" s="2" t="s">
        <v>1072</v>
      </c>
      <c r="B398" s="2" t="s">
        <v>1073</v>
      </c>
      <c r="C398" s="2" t="s">
        <v>215</v>
      </c>
      <c r="D398" s="2" t="s">
        <v>18</v>
      </c>
      <c r="E398" s="5">
        <v>-29897</v>
      </c>
      <c r="F398" s="3" t="s">
        <v>318</v>
      </c>
      <c r="G398" s="3" t="s">
        <v>45</v>
      </c>
      <c r="H398" s="2" t="s">
        <v>36</v>
      </c>
      <c r="I398" s="2" t="s">
        <v>1074</v>
      </c>
      <c r="J398" s="3" t="str">
        <f>HYPERLINK("https://www.boe.es/gazeta/dias/1818/02/21/pdfs/GMD-1818-23.pdf#page=8","Abrir facsímil")</f>
        <v>Abrir facsímil</v>
      </c>
      <c r="K398" s="3" t="s">
        <v>38</v>
      </c>
    </row>
    <row r="399" spans="1:11" ht="42" customHeight="1">
      <c r="A399" s="2" t="s">
        <v>1075</v>
      </c>
      <c r="B399" s="2" t="s">
        <v>1076</v>
      </c>
      <c r="C399" s="2" t="s">
        <v>26</v>
      </c>
      <c r="D399" s="2" t="s">
        <v>27</v>
      </c>
      <c r="E399" s="5">
        <v>-29757</v>
      </c>
      <c r="F399" s="3" t="s">
        <v>115</v>
      </c>
      <c r="G399" s="3" t="s">
        <v>106</v>
      </c>
      <c r="H399" s="2" t="s">
        <v>36</v>
      </c>
      <c r="I399" s="2" t="s">
        <v>1077</v>
      </c>
      <c r="J399" s="3" t="str">
        <f>HYPERLINK("https://www.boe.es/gazeta/dias/1818/07/11/pdfs/GMD-1818-83.pdf#page=5","Abrir facsímil")</f>
        <v>Abrir facsímil</v>
      </c>
      <c r="K399" s="3" t="s">
        <v>38</v>
      </c>
    </row>
    <row r="400" spans="1:11" ht="42" customHeight="1">
      <c r="A400" s="2" t="s">
        <v>1078</v>
      </c>
      <c r="B400" s="2" t="s">
        <v>1079</v>
      </c>
      <c r="C400" s="2" t="s">
        <v>26</v>
      </c>
      <c r="D400" s="2" t="s">
        <v>27</v>
      </c>
      <c r="E400" s="5">
        <v>-29710</v>
      </c>
      <c r="F400" s="3" t="s">
        <v>1026</v>
      </c>
      <c r="G400" s="3" t="s">
        <v>1027</v>
      </c>
      <c r="H400" s="2" t="s">
        <v>36</v>
      </c>
      <c r="I400" s="2" t="s">
        <v>1080</v>
      </c>
      <c r="J400" s="3" t="str">
        <f>HYPERLINK("https://www.boe.es/gazeta/dias/1818/08/27/pdfs/GMD-1818-103.pdf#page=6","Abrir facsímil")</f>
        <v>Abrir facsímil</v>
      </c>
      <c r="K400" s="3" t="s">
        <v>38</v>
      </c>
    </row>
    <row r="401" spans="1:11" ht="42" customHeight="1">
      <c r="A401" s="2" t="s">
        <v>1078</v>
      </c>
      <c r="B401" s="2" t="s">
        <v>1079</v>
      </c>
      <c r="C401" s="2" t="s">
        <v>26</v>
      </c>
      <c r="D401" s="2" t="s">
        <v>27</v>
      </c>
      <c r="E401" s="5">
        <v>-29710</v>
      </c>
      <c r="F401" s="3" t="s">
        <v>1026</v>
      </c>
      <c r="G401" s="3" t="s">
        <v>20</v>
      </c>
      <c r="H401" s="2" t="s">
        <v>36</v>
      </c>
      <c r="I401" s="2" t="s">
        <v>1081</v>
      </c>
      <c r="J401" s="3" t="str">
        <f>HYPERLINK("https://www.boe.es/gazeta/dias/1818/08/27/pdfs/GMD-1818-103.pdf#page=7","Abrir facsímil")</f>
        <v>Abrir facsímil</v>
      </c>
      <c r="K401" s="3" t="s">
        <v>38</v>
      </c>
    </row>
    <row r="402" spans="1:11" ht="42" customHeight="1">
      <c r="A402" s="2" t="s">
        <v>1082</v>
      </c>
      <c r="B402" s="2" t="s">
        <v>1083</v>
      </c>
      <c r="C402" s="2" t="s">
        <v>26</v>
      </c>
      <c r="D402" s="2" t="s">
        <v>27</v>
      </c>
      <c r="E402" s="5">
        <v>-29887</v>
      </c>
      <c r="F402" s="3" t="s">
        <v>613</v>
      </c>
      <c r="G402" s="3" t="s">
        <v>59</v>
      </c>
      <c r="H402" s="2" t="s">
        <v>36</v>
      </c>
      <c r="I402" s="2" t="s">
        <v>1084</v>
      </c>
      <c r="J402" s="3" t="str">
        <f>HYPERLINK("https://www.boe.es/gazeta/dias/1818/03/03/pdfs/GMD-1818-27.pdf#page=6","Abrir facsímil")</f>
        <v>Abrir facsímil</v>
      </c>
      <c r="K402" s="3" t="s">
        <v>38</v>
      </c>
    </row>
    <row r="403" spans="1:11" ht="42" customHeight="1">
      <c r="A403" s="2" t="s">
        <v>1085</v>
      </c>
      <c r="B403" s="2" t="s">
        <v>1086</v>
      </c>
      <c r="C403" s="2" t="s">
        <v>26</v>
      </c>
      <c r="D403" s="2" t="s">
        <v>27</v>
      </c>
      <c r="E403" s="5">
        <v>-29897</v>
      </c>
      <c r="F403" s="3" t="s">
        <v>318</v>
      </c>
      <c r="G403" s="3" t="s">
        <v>106</v>
      </c>
      <c r="H403" s="2" t="s">
        <v>36</v>
      </c>
      <c r="I403" s="2" t="s">
        <v>1087</v>
      </c>
      <c r="J403" s="3" t="str">
        <f>HYPERLINK("https://www.boe.es/gazeta/dias/1818/02/21/pdfs/GMD-1818-23.pdf#page=5","Abrir facsímil")</f>
        <v>Abrir facsímil</v>
      </c>
      <c r="K403" s="3" t="s">
        <v>38</v>
      </c>
    </row>
    <row r="404" spans="1:11" ht="42" customHeight="1">
      <c r="A404" s="2" t="s">
        <v>1088</v>
      </c>
      <c r="B404" s="2" t="s">
        <v>1088</v>
      </c>
      <c r="C404" s="2" t="s">
        <v>26</v>
      </c>
      <c r="D404" s="2" t="s">
        <v>27</v>
      </c>
      <c r="E404" s="5">
        <v>-29810</v>
      </c>
      <c r="F404" s="3" t="s">
        <v>222</v>
      </c>
      <c r="G404" s="3" t="s">
        <v>29</v>
      </c>
      <c r="H404" s="2" t="s">
        <v>36</v>
      </c>
      <c r="I404" s="2" t="s">
        <v>1089</v>
      </c>
      <c r="J404" s="3" t="str">
        <f>HYPERLINK("https://www.boe.es/gazeta/dias/1818/05/19/pdfs/GMD-1818-60.pdf#page=4","Abrir facsímil")</f>
        <v>Abrir facsímil</v>
      </c>
      <c r="K404" s="3" t="s">
        <v>38</v>
      </c>
    </row>
    <row r="405" spans="1:11" ht="42" customHeight="1">
      <c r="A405" s="2" t="s">
        <v>1088</v>
      </c>
      <c r="B405" s="2" t="s">
        <v>1088</v>
      </c>
      <c r="C405" s="2" t="s">
        <v>26</v>
      </c>
      <c r="D405" s="2" t="s">
        <v>27</v>
      </c>
      <c r="E405" s="5">
        <v>-29733</v>
      </c>
      <c r="F405" s="3" t="s">
        <v>482</v>
      </c>
      <c r="G405" s="3" t="s">
        <v>59</v>
      </c>
      <c r="H405" s="2" t="s">
        <v>36</v>
      </c>
      <c r="I405" s="2" t="s">
        <v>1090</v>
      </c>
      <c r="J405" s="3" t="str">
        <f>HYPERLINK("https://www.boe.es/gazeta/dias/1818/08/04/pdfs/GMD-1818-93.pdf#page=6","Abrir facsímil")</f>
        <v>Abrir facsímil</v>
      </c>
      <c r="K405" s="3" t="s">
        <v>38</v>
      </c>
    </row>
    <row r="406" spans="1:11" ht="42" customHeight="1">
      <c r="A406" s="2" t="s">
        <v>1091</v>
      </c>
      <c r="B406" s="2" t="s">
        <v>1092</v>
      </c>
      <c r="C406" s="2" t="s">
        <v>26</v>
      </c>
      <c r="D406" s="2" t="s">
        <v>27</v>
      </c>
      <c r="E406" s="5">
        <v>-29733</v>
      </c>
      <c r="F406" s="3" t="s">
        <v>482</v>
      </c>
      <c r="G406" s="3" t="s">
        <v>85</v>
      </c>
      <c r="H406" s="2" t="s">
        <v>36</v>
      </c>
      <c r="I406" s="2" t="s">
        <v>1093</v>
      </c>
      <c r="J406" s="3" t="str">
        <f>HYPERLINK("https://www.boe.es/gazeta/dias/1818/08/04/pdfs/GMD-1818-93.pdf#page=3","Abrir facsímil")</f>
        <v>Abrir facsímil</v>
      </c>
      <c r="K406" s="3" t="s">
        <v>38</v>
      </c>
    </row>
    <row r="407" spans="1:11" ht="42" customHeight="1">
      <c r="A407" s="2" t="s">
        <v>1094</v>
      </c>
      <c r="B407" s="2" t="s">
        <v>1095</v>
      </c>
      <c r="C407" s="2" t="s">
        <v>26</v>
      </c>
      <c r="D407" s="2" t="s">
        <v>27</v>
      </c>
      <c r="E407" s="5">
        <v>-29890</v>
      </c>
      <c r="F407" s="3" t="s">
        <v>393</v>
      </c>
      <c r="G407" s="3" t="s">
        <v>1096</v>
      </c>
      <c r="H407" s="2" t="s">
        <v>36</v>
      </c>
      <c r="I407" s="2" t="s">
        <v>1097</v>
      </c>
      <c r="J407" s="3" t="str">
        <f>HYPERLINK("https://www.boe.es/gazeta/dias/1818/02/28/pdfs/GMD-1818-26.pdf#page=6","Abrir facsímil")</f>
        <v>Abrir facsímil</v>
      </c>
      <c r="K407" s="3" t="s">
        <v>38</v>
      </c>
    </row>
    <row r="408" spans="1:11" ht="42" customHeight="1">
      <c r="A408" s="2" t="s">
        <v>1094</v>
      </c>
      <c r="B408" s="2" t="s">
        <v>1095</v>
      </c>
      <c r="C408" s="2" t="s">
        <v>26</v>
      </c>
      <c r="D408" s="2" t="s">
        <v>27</v>
      </c>
      <c r="E408" s="5">
        <v>-29677</v>
      </c>
      <c r="F408" s="3" t="s">
        <v>157</v>
      </c>
      <c r="G408" s="3" t="s">
        <v>106</v>
      </c>
      <c r="H408" s="2" t="s">
        <v>36</v>
      </c>
      <c r="I408" s="2" t="s">
        <v>1098</v>
      </c>
      <c r="J408" s="3" t="str">
        <f>HYPERLINK("https://www.boe.es/gazeta/dias/1818/09/29/pdfs/GMD-1818-117.pdf#page=5","Abrir facsímil")</f>
        <v>Abrir facsímil</v>
      </c>
      <c r="K408" s="3" t="s">
        <v>38</v>
      </c>
    </row>
    <row r="409" spans="1:11" ht="42" customHeight="1">
      <c r="A409" s="2" t="s">
        <v>1094</v>
      </c>
      <c r="B409" s="2" t="s">
        <v>1095</v>
      </c>
      <c r="C409" s="2" t="s">
        <v>26</v>
      </c>
      <c r="D409" s="2" t="s">
        <v>27</v>
      </c>
      <c r="E409" s="5">
        <v>-29673</v>
      </c>
      <c r="F409" s="3" t="s">
        <v>1099</v>
      </c>
      <c r="G409" s="3" t="s">
        <v>106</v>
      </c>
      <c r="H409" s="2" t="s">
        <v>36</v>
      </c>
      <c r="I409" s="2" t="s">
        <v>1100</v>
      </c>
      <c r="J409" s="3" t="str">
        <f>HYPERLINK("https://www.boe.es/gazeta/dias/1818/10/03/pdfs/GMD-1818-119.pdf#page=5","Abrir facsímil")</f>
        <v>Abrir facsímil</v>
      </c>
      <c r="K409" s="3" t="s">
        <v>38</v>
      </c>
    </row>
    <row r="410" spans="1:11" ht="42" customHeight="1">
      <c r="A410" s="2" t="s">
        <v>1094</v>
      </c>
      <c r="B410" s="2" t="s">
        <v>1095</v>
      </c>
      <c r="C410" s="2" t="s">
        <v>26</v>
      </c>
      <c r="D410" s="2" t="s">
        <v>27</v>
      </c>
      <c r="E410" s="5">
        <v>-29670</v>
      </c>
      <c r="F410" s="3" t="s">
        <v>48</v>
      </c>
      <c r="G410" s="3" t="s">
        <v>106</v>
      </c>
      <c r="H410" s="2" t="s">
        <v>36</v>
      </c>
      <c r="I410" s="2" t="s">
        <v>1101</v>
      </c>
      <c r="J410" s="3" t="str">
        <f>HYPERLINK("https://www.boe.es/gazeta/dias/1818/10/06/pdfs/GMD-1818-120.pdf#page=5","Abrir facsímil")</f>
        <v>Abrir facsímil</v>
      </c>
      <c r="K410" s="3" t="s">
        <v>38</v>
      </c>
    </row>
    <row r="411" spans="1:11" ht="42" customHeight="1">
      <c r="A411" s="2" t="s">
        <v>1094</v>
      </c>
      <c r="B411" s="2" t="s">
        <v>1095</v>
      </c>
      <c r="C411" s="2" t="s">
        <v>26</v>
      </c>
      <c r="D411" s="2" t="s">
        <v>27</v>
      </c>
      <c r="E411" s="5">
        <v>-29605</v>
      </c>
      <c r="F411" s="3" t="s">
        <v>888</v>
      </c>
      <c r="G411" s="3" t="s">
        <v>891</v>
      </c>
      <c r="H411" s="2" t="s">
        <v>36</v>
      </c>
      <c r="I411" s="2" t="s">
        <v>1102</v>
      </c>
      <c r="J411" s="3" t="str">
        <f>HYPERLINK("https://www.boe.es/gazeta/dias/1818/12/10/pdfs/GMD-1818-149.pdf#page=7","Abrir facsímil")</f>
        <v>Abrir facsímil</v>
      </c>
      <c r="K411" s="3" t="s">
        <v>38</v>
      </c>
    </row>
    <row r="412" spans="1:11" ht="42" customHeight="1">
      <c r="A412" s="2" t="s">
        <v>1103</v>
      </c>
      <c r="B412" s="2" t="s">
        <v>1104</v>
      </c>
      <c r="C412" s="2" t="s">
        <v>26</v>
      </c>
      <c r="D412" s="2" t="s">
        <v>27</v>
      </c>
      <c r="E412" s="5">
        <v>-29733</v>
      </c>
      <c r="F412" s="3" t="s">
        <v>482</v>
      </c>
      <c r="G412" s="3" t="s">
        <v>29</v>
      </c>
      <c r="H412" s="2" t="s">
        <v>36</v>
      </c>
      <c r="I412" s="2" t="s">
        <v>1105</v>
      </c>
      <c r="J412" s="3" t="str">
        <f>HYPERLINK("https://www.boe.es/gazeta/dias/1818/08/04/pdfs/GMD-1818-93.pdf#page=4","Abrir facsímil")</f>
        <v>Abrir facsímil</v>
      </c>
      <c r="K412" s="3" t="s">
        <v>38</v>
      </c>
    </row>
    <row r="413" spans="1:11" ht="42" customHeight="1">
      <c r="A413" s="2" t="s">
        <v>1106</v>
      </c>
      <c r="B413" s="2" t="s">
        <v>1106</v>
      </c>
      <c r="C413" s="2" t="s">
        <v>26</v>
      </c>
      <c r="D413" s="2" t="s">
        <v>27</v>
      </c>
      <c r="E413" s="5">
        <v>-29948</v>
      </c>
      <c r="F413" s="3" t="s">
        <v>199</v>
      </c>
      <c r="G413" s="3" t="s">
        <v>29</v>
      </c>
      <c r="H413" s="2" t="s">
        <v>36</v>
      </c>
      <c r="I413" s="2" t="s">
        <v>1107</v>
      </c>
      <c r="J413" s="3" t="str">
        <f>HYPERLINK("https://www.boe.es/gazeta/dias/1818/01/01/pdfs/GMD-1818-1.pdf#page=4","Abrir facsímil")</f>
        <v>Abrir facsímil</v>
      </c>
      <c r="K413" s="3" t="s">
        <v>38</v>
      </c>
    </row>
    <row r="414" spans="1:11" ht="42" customHeight="1">
      <c r="A414" s="2" t="s">
        <v>1106</v>
      </c>
      <c r="B414" s="2" t="s">
        <v>1106</v>
      </c>
      <c r="C414" s="2" t="s">
        <v>26</v>
      </c>
      <c r="D414" s="2" t="s">
        <v>27</v>
      </c>
      <c r="E414" s="5">
        <v>-29948</v>
      </c>
      <c r="F414" s="3" t="s">
        <v>199</v>
      </c>
      <c r="G414" s="3" t="s">
        <v>106</v>
      </c>
      <c r="H414" s="2" t="s">
        <v>36</v>
      </c>
      <c r="I414" s="2" t="s">
        <v>1108</v>
      </c>
      <c r="J414" s="3" t="str">
        <f>HYPERLINK("https://www.boe.es/gazeta/dias/1818/01/01/pdfs/GMD-1818-1.pdf#page=5","Abrir facsímil")</f>
        <v>Abrir facsímil</v>
      </c>
      <c r="K414" s="3" t="s">
        <v>38</v>
      </c>
    </row>
    <row r="415" spans="1:11" ht="42" customHeight="1">
      <c r="A415" s="2" t="s">
        <v>1109</v>
      </c>
      <c r="B415" s="2" t="s">
        <v>1110</v>
      </c>
      <c r="C415" s="2" t="s">
        <v>26</v>
      </c>
      <c r="D415" s="2" t="s">
        <v>27</v>
      </c>
      <c r="E415" s="5">
        <v>-29939</v>
      </c>
      <c r="F415" s="3" t="s">
        <v>110</v>
      </c>
      <c r="G415" s="3" t="s">
        <v>1111</v>
      </c>
      <c r="H415" s="2" t="s">
        <v>36</v>
      </c>
      <c r="I415" s="2" t="s">
        <v>1112</v>
      </c>
      <c r="J415" s="3" t="str">
        <f>HYPERLINK("https://www.boe.es/gazeta/dias/1818/01/10/pdfs/GMD-1818-5.pdf#page=5","Abrir facsímil")</f>
        <v>Abrir facsímil</v>
      </c>
      <c r="K415" s="3" t="s">
        <v>38</v>
      </c>
    </row>
    <row r="416" spans="1:11" ht="42" customHeight="1">
      <c r="A416" s="2" t="s">
        <v>1113</v>
      </c>
      <c r="B416" s="2" t="s">
        <v>1114</v>
      </c>
      <c r="C416" s="2" t="s">
        <v>26</v>
      </c>
      <c r="D416" s="2" t="s">
        <v>27</v>
      </c>
      <c r="E416" s="5">
        <v>-29890</v>
      </c>
      <c r="F416" s="3" t="s">
        <v>393</v>
      </c>
      <c r="G416" s="3" t="s">
        <v>394</v>
      </c>
      <c r="H416" s="2" t="s">
        <v>36</v>
      </c>
      <c r="I416" s="2" t="s">
        <v>1115</v>
      </c>
      <c r="J416" s="3" t="str">
        <f>HYPERLINK("https://www.boe.es/gazeta/dias/1818/02/28/pdfs/GMD-1818-26.pdf#page=8","Abrir facsímil")</f>
        <v>Abrir facsímil</v>
      </c>
      <c r="K416" s="3" t="s">
        <v>38</v>
      </c>
    </row>
    <row r="417" spans="1:11" ht="42" customHeight="1">
      <c r="A417" s="2" t="s">
        <v>1116</v>
      </c>
      <c r="B417" s="2" t="s">
        <v>1117</v>
      </c>
      <c r="C417" s="2" t="s">
        <v>26</v>
      </c>
      <c r="D417" s="2" t="s">
        <v>27</v>
      </c>
      <c r="E417" s="5">
        <v>-29680</v>
      </c>
      <c r="F417" s="3" t="s">
        <v>865</v>
      </c>
      <c r="G417" s="3" t="s">
        <v>20</v>
      </c>
      <c r="H417" s="2" t="s">
        <v>36</v>
      </c>
      <c r="I417" s="2" t="s">
        <v>1118</v>
      </c>
      <c r="J417" s="3" t="str">
        <f>HYPERLINK("https://www.boe.es/gazeta/dias/1818/09/26/pdfs/GMD-1818-116.pdf#page=7","Abrir facsímil")</f>
        <v>Abrir facsímil</v>
      </c>
      <c r="K417" s="3" t="s">
        <v>38</v>
      </c>
    </row>
    <row r="418" spans="1:11" ht="42" customHeight="1">
      <c r="A418" s="2" t="s">
        <v>1119</v>
      </c>
      <c r="B418" s="2" t="s">
        <v>1120</v>
      </c>
      <c r="C418" s="2" t="s">
        <v>26</v>
      </c>
      <c r="D418" s="2" t="s">
        <v>27</v>
      </c>
      <c r="E418" s="5">
        <v>-29687</v>
      </c>
      <c r="F418" s="3" t="s">
        <v>686</v>
      </c>
      <c r="G418" s="3" t="s">
        <v>106</v>
      </c>
      <c r="H418" s="2" t="s">
        <v>36</v>
      </c>
      <c r="I418" s="2" t="s">
        <v>1121</v>
      </c>
      <c r="J418" s="3" t="str">
        <f>HYPERLINK("https://www.boe.es/gazeta/dias/1818/09/19/pdfs/GMD-1818-113.pdf#page=5","Abrir facsímil")</f>
        <v>Abrir facsímil</v>
      </c>
      <c r="K418" s="3" t="s">
        <v>38</v>
      </c>
    </row>
    <row r="419" spans="1:11" ht="42" customHeight="1">
      <c r="A419" s="2" t="s">
        <v>1122</v>
      </c>
      <c r="B419" s="2" t="s">
        <v>1123</v>
      </c>
      <c r="C419" s="2" t="s">
        <v>63</v>
      </c>
      <c r="D419" s="2" t="s">
        <v>18</v>
      </c>
      <c r="E419" s="5">
        <v>-29729</v>
      </c>
      <c r="F419" s="3" t="s">
        <v>488</v>
      </c>
      <c r="G419" s="3" t="s">
        <v>489</v>
      </c>
      <c r="H419" s="2" t="s">
        <v>36</v>
      </c>
      <c r="I419" s="2" t="s">
        <v>1124</v>
      </c>
      <c r="J419" s="3" t="str">
        <f>HYPERLINK("https://www.boe.es/gazeta/dias/1818/08/08/pdfs/GMD-1818-95.pdf#page=8","Abrir facsímil")</f>
        <v>Abrir facsímil</v>
      </c>
      <c r="K419" s="3" t="s">
        <v>38</v>
      </c>
    </row>
    <row r="420" spans="1:11" ht="42" customHeight="1">
      <c r="A420" s="2" t="s">
        <v>1125</v>
      </c>
      <c r="B420" s="2" t="s">
        <v>1126</v>
      </c>
      <c r="C420" s="2" t="s">
        <v>26</v>
      </c>
      <c r="D420" s="2" t="s">
        <v>27</v>
      </c>
      <c r="E420" s="5">
        <v>-29722</v>
      </c>
      <c r="F420" s="3" t="s">
        <v>1127</v>
      </c>
      <c r="G420" s="3" t="s">
        <v>106</v>
      </c>
      <c r="H420" s="2" t="s">
        <v>36</v>
      </c>
      <c r="I420" s="2" t="s">
        <v>1128</v>
      </c>
      <c r="J420" s="3" t="str">
        <f>HYPERLINK("https://www.boe.es/gazeta/dias/1818/08/15/pdfs/GMD-1818-98.pdf#page=5","Abrir facsímil")</f>
        <v>Abrir facsímil</v>
      </c>
      <c r="K420" s="3" t="s">
        <v>38</v>
      </c>
    </row>
    <row r="421" spans="1:11" ht="42" customHeight="1">
      <c r="A421" s="2" t="s">
        <v>1129</v>
      </c>
      <c r="B421" s="2" t="s">
        <v>1130</v>
      </c>
      <c r="C421" s="2" t="s">
        <v>17</v>
      </c>
      <c r="D421" s="2" t="s">
        <v>18</v>
      </c>
      <c r="E421" s="5">
        <v>-29824</v>
      </c>
      <c r="F421" s="3" t="s">
        <v>101</v>
      </c>
      <c r="G421" s="3" t="s">
        <v>20</v>
      </c>
      <c r="H421" s="2" t="s">
        <v>36</v>
      </c>
      <c r="I421" s="2" t="s">
        <v>1131</v>
      </c>
      <c r="J421" s="3" t="str">
        <f>HYPERLINK("https://www.boe.es/gazeta/dias/1818/05/05/pdfs/GMD-1818-54.pdf#page=7","Abrir facsímil")</f>
        <v>Abrir facsímil</v>
      </c>
      <c r="K421" s="3" t="s">
        <v>38</v>
      </c>
    </row>
    <row r="422" spans="1:11" ht="42" customHeight="1">
      <c r="A422" s="2" t="s">
        <v>1132</v>
      </c>
      <c r="B422" s="2" t="s">
        <v>1133</v>
      </c>
      <c r="C422" s="2" t="s">
        <v>26</v>
      </c>
      <c r="D422" s="2" t="s">
        <v>27</v>
      </c>
      <c r="E422" s="5">
        <v>-29680</v>
      </c>
      <c r="F422" s="3" t="s">
        <v>865</v>
      </c>
      <c r="G422" s="3" t="s">
        <v>20</v>
      </c>
      <c r="H422" s="2" t="s">
        <v>36</v>
      </c>
      <c r="I422" s="2" t="s">
        <v>1134</v>
      </c>
      <c r="J422" s="3" t="str">
        <f>HYPERLINK("https://www.boe.es/gazeta/dias/1818/09/26/pdfs/GMD-1818-116.pdf#page=7","Abrir facsímil")</f>
        <v>Abrir facsímil</v>
      </c>
      <c r="K422" s="3" t="s">
        <v>38</v>
      </c>
    </row>
    <row r="423" spans="1:11" ht="42" customHeight="1">
      <c r="A423" s="2" t="s">
        <v>1135</v>
      </c>
      <c r="B423" s="2" t="s">
        <v>1136</v>
      </c>
      <c r="C423" s="2" t="s">
        <v>26</v>
      </c>
      <c r="D423" s="2" t="s">
        <v>27</v>
      </c>
      <c r="E423" s="5">
        <v>-29897</v>
      </c>
      <c r="F423" s="3" t="s">
        <v>318</v>
      </c>
      <c r="G423" s="3" t="s">
        <v>106</v>
      </c>
      <c r="H423" s="2" t="s">
        <v>36</v>
      </c>
      <c r="I423" s="2" t="s">
        <v>1137</v>
      </c>
      <c r="J423" s="3" t="str">
        <f>HYPERLINK("https://www.boe.es/gazeta/dias/1818/02/21/pdfs/GMD-1818-23.pdf#page=5","Abrir facsímil")</f>
        <v>Abrir facsímil</v>
      </c>
      <c r="K423" s="3" t="s">
        <v>38</v>
      </c>
    </row>
    <row r="424" spans="1:11" ht="42" customHeight="1">
      <c r="A424" s="2" t="s">
        <v>1138</v>
      </c>
      <c r="B424" s="2" t="s">
        <v>1138</v>
      </c>
      <c r="C424" s="2" t="s">
        <v>26</v>
      </c>
      <c r="D424" s="2" t="s">
        <v>27</v>
      </c>
      <c r="E424" s="5">
        <v>-29939</v>
      </c>
      <c r="F424" s="3" t="s">
        <v>110</v>
      </c>
      <c r="G424" s="3" t="s">
        <v>1111</v>
      </c>
      <c r="H424" s="2" t="s">
        <v>36</v>
      </c>
      <c r="I424" s="2" t="s">
        <v>1139</v>
      </c>
      <c r="J424" s="3" t="str">
        <f>HYPERLINK("https://www.boe.es/gazeta/dias/1818/01/10/pdfs/GMD-1818-5.pdf#page=5","Abrir facsímil")</f>
        <v>Abrir facsímil</v>
      </c>
      <c r="K424" s="3" t="s">
        <v>38</v>
      </c>
    </row>
    <row r="425" spans="1:11" ht="42" customHeight="1">
      <c r="A425" s="2" t="s">
        <v>1140</v>
      </c>
      <c r="B425" s="2" t="s">
        <v>1141</v>
      </c>
      <c r="C425" s="2" t="s">
        <v>26</v>
      </c>
      <c r="D425" s="2" t="s">
        <v>27</v>
      </c>
      <c r="E425" s="5">
        <v>-29915</v>
      </c>
      <c r="F425" s="3" t="s">
        <v>429</v>
      </c>
      <c r="G425" s="3" t="s">
        <v>1142</v>
      </c>
      <c r="H425" s="2" t="s">
        <v>36</v>
      </c>
      <c r="I425" s="2" t="s">
        <v>1143</v>
      </c>
      <c r="J425" s="3" t="str">
        <f>HYPERLINK("https://www.boe.es/gazeta/dias/1818/02/03/pdfs/GMD-1818-15.pdf#page=6","Abrir facsímil")</f>
        <v>Abrir facsímil</v>
      </c>
      <c r="K425" s="3" t="s">
        <v>38</v>
      </c>
    </row>
    <row r="426" spans="1:11" ht="42" customHeight="1">
      <c r="A426" s="2" t="s">
        <v>1140</v>
      </c>
      <c r="B426" s="2" t="s">
        <v>1141</v>
      </c>
      <c r="C426" s="2" t="s">
        <v>26</v>
      </c>
      <c r="D426" s="2" t="s">
        <v>27</v>
      </c>
      <c r="E426" s="5">
        <v>-29913</v>
      </c>
      <c r="F426" s="3" t="s">
        <v>449</v>
      </c>
      <c r="G426" s="3" t="s">
        <v>20</v>
      </c>
      <c r="H426" s="2" t="s">
        <v>36</v>
      </c>
      <c r="I426" s="2" t="s">
        <v>1144</v>
      </c>
      <c r="J426" s="3" t="str">
        <f>HYPERLINK("https://www.boe.es/gazeta/dias/1818/02/05/pdfs/GMD-1818-16.pdf#page=7","Abrir facsímil")</f>
        <v>Abrir facsímil</v>
      </c>
      <c r="K426" s="3" t="s">
        <v>38</v>
      </c>
    </row>
    <row r="427" spans="1:11" ht="42" customHeight="1">
      <c r="A427" s="2" t="s">
        <v>1145</v>
      </c>
      <c r="B427" s="2" t="s">
        <v>1146</v>
      </c>
      <c r="C427" s="2" t="s">
        <v>33</v>
      </c>
      <c r="D427" s="2" t="s">
        <v>18</v>
      </c>
      <c r="E427" s="5">
        <v>-29698</v>
      </c>
      <c r="F427" s="3" t="s">
        <v>148</v>
      </c>
      <c r="G427" s="3" t="s">
        <v>29</v>
      </c>
      <c r="H427" s="2" t="s">
        <v>36</v>
      </c>
      <c r="I427" s="2" t="s">
        <v>1147</v>
      </c>
      <c r="J427" s="3" t="str">
        <f>HYPERLINK("https://www.boe.es/gazeta/dias/1818/09/08/pdfs/GMD-1818-108.pdf#page=4","Abrir facsímil")</f>
        <v>Abrir facsímil</v>
      </c>
      <c r="K427" s="3" t="s">
        <v>38</v>
      </c>
    </row>
    <row r="428" spans="1:11" ht="42" customHeight="1">
      <c r="A428" s="2" t="s">
        <v>1148</v>
      </c>
      <c r="B428" s="2" t="s">
        <v>1149</v>
      </c>
      <c r="C428" s="2" t="s">
        <v>26</v>
      </c>
      <c r="D428" s="2" t="s">
        <v>27</v>
      </c>
      <c r="E428" s="5">
        <v>-29687</v>
      </c>
      <c r="F428" s="3" t="s">
        <v>686</v>
      </c>
      <c r="G428" s="3" t="s">
        <v>106</v>
      </c>
      <c r="H428" s="2" t="s">
        <v>36</v>
      </c>
      <c r="I428" s="2" t="s">
        <v>1150</v>
      </c>
      <c r="J428" s="3" t="str">
        <f>HYPERLINK("https://www.boe.es/gazeta/dias/1818/09/19/pdfs/GMD-1818-113.pdf#page=5","Abrir facsímil")</f>
        <v>Abrir facsímil</v>
      </c>
      <c r="K428" s="3" t="s">
        <v>38</v>
      </c>
    </row>
    <row r="429" spans="1:11" ht="42" customHeight="1">
      <c r="A429" s="2" t="s">
        <v>1151</v>
      </c>
      <c r="B429" s="2" t="s">
        <v>1152</v>
      </c>
      <c r="C429" s="2" t="s">
        <v>26</v>
      </c>
      <c r="D429" s="2" t="s">
        <v>27</v>
      </c>
      <c r="E429" s="5">
        <v>-29801</v>
      </c>
      <c r="F429" s="3" t="s">
        <v>288</v>
      </c>
      <c r="G429" s="3" t="s">
        <v>106</v>
      </c>
      <c r="H429" s="2" t="s">
        <v>36</v>
      </c>
      <c r="I429" s="2" t="s">
        <v>1153</v>
      </c>
      <c r="J429" s="3" t="str">
        <f>HYPERLINK("https://www.boe.es/gazeta/dias/1818/05/28/pdfs/GMD-1818-64.pdf#page=5","Abrir facsímil")</f>
        <v>Abrir facsímil</v>
      </c>
      <c r="K429" s="3" t="s">
        <v>38</v>
      </c>
    </row>
    <row r="430" spans="1:11" ht="42" customHeight="1">
      <c r="A430" s="2" t="s">
        <v>1154</v>
      </c>
      <c r="B430" s="2" t="s">
        <v>1155</v>
      </c>
      <c r="C430" s="2" t="s">
        <v>63</v>
      </c>
      <c r="D430" s="2" t="s">
        <v>18</v>
      </c>
      <c r="E430" s="5">
        <v>-29619</v>
      </c>
      <c r="F430" s="3" t="s">
        <v>64</v>
      </c>
      <c r="G430" s="3" t="s">
        <v>20</v>
      </c>
      <c r="H430" s="2" t="s">
        <v>36</v>
      </c>
      <c r="I430" s="2" t="s">
        <v>1156</v>
      </c>
      <c r="J430" s="3" t="str">
        <f>HYPERLINK("https://www.boe.es/gazeta/dias/1818/11/26/pdfs/GMD-1818-143.pdf#page=7","Abrir facsímil")</f>
        <v>Abrir facsímil</v>
      </c>
      <c r="K430" s="3" t="s">
        <v>38</v>
      </c>
    </row>
    <row r="431" spans="1:11" ht="42" customHeight="1">
      <c r="A431" s="2" t="s">
        <v>1157</v>
      </c>
      <c r="B431" s="2" t="s">
        <v>1158</v>
      </c>
      <c r="C431" s="2" t="s">
        <v>17</v>
      </c>
      <c r="D431" s="2" t="s">
        <v>18</v>
      </c>
      <c r="E431" s="5">
        <v>-29631</v>
      </c>
      <c r="F431" s="3" t="s">
        <v>743</v>
      </c>
      <c r="G431" s="3" t="s">
        <v>20</v>
      </c>
      <c r="H431" s="2" t="s">
        <v>36</v>
      </c>
      <c r="I431" s="2" t="s">
        <v>1159</v>
      </c>
      <c r="J431" s="3" t="str">
        <f>HYPERLINK("https://www.boe.es/gazeta/dias/1818/11/14/pdfs/GMD-1818-138.pdf#page=7","Abrir facsímil")</f>
        <v>Abrir facsímil</v>
      </c>
      <c r="K431" s="3" t="s">
        <v>38</v>
      </c>
    </row>
    <row r="432" spans="1:11" ht="42" customHeight="1">
      <c r="A432" s="2" t="s">
        <v>1160</v>
      </c>
      <c r="B432" s="2" t="s">
        <v>1161</v>
      </c>
      <c r="C432" s="2" t="s">
        <v>63</v>
      </c>
      <c r="D432" s="2" t="s">
        <v>18</v>
      </c>
      <c r="E432" s="5">
        <v>-29880</v>
      </c>
      <c r="F432" s="3" t="s">
        <v>359</v>
      </c>
      <c r="G432" s="3" t="s">
        <v>59</v>
      </c>
      <c r="H432" s="2" t="s">
        <v>36</v>
      </c>
      <c r="I432" s="2" t="s">
        <v>1162</v>
      </c>
      <c r="J432" s="3" t="str">
        <f>HYPERLINK("https://www.boe.es/gazeta/dias/1818/03/10/pdfs/GMD-1818-30.pdf#page=6","Abrir facsímil")</f>
        <v>Abrir facsímil</v>
      </c>
      <c r="K432" s="3" t="s">
        <v>38</v>
      </c>
    </row>
    <row r="433" spans="1:11" ht="42" customHeight="1">
      <c r="A433" s="2" t="s">
        <v>1163</v>
      </c>
      <c r="B433" s="2" t="s">
        <v>1164</v>
      </c>
      <c r="C433" s="2" t="s">
        <v>26</v>
      </c>
      <c r="D433" s="2" t="s">
        <v>27</v>
      </c>
      <c r="E433" s="5">
        <v>-29817</v>
      </c>
      <c r="F433" s="3" t="s">
        <v>284</v>
      </c>
      <c r="G433" s="3" t="s">
        <v>20</v>
      </c>
      <c r="H433" s="2" t="s">
        <v>36</v>
      </c>
      <c r="I433" s="2" t="s">
        <v>1165</v>
      </c>
      <c r="J433" s="3" t="str">
        <f>HYPERLINK("https://www.boe.es/gazeta/dias/1818/05/12/pdfs/GMD-1818-57.pdf#page=7","Abrir facsímil")</f>
        <v>Abrir facsímil</v>
      </c>
      <c r="K433" s="3" t="s">
        <v>38</v>
      </c>
    </row>
    <row r="434" spans="1:11" ht="42" customHeight="1">
      <c r="A434" s="2" t="s">
        <v>1166</v>
      </c>
      <c r="B434" s="2" t="s">
        <v>1167</v>
      </c>
      <c r="C434" s="2" t="s">
        <v>68</v>
      </c>
      <c r="D434" s="2" t="s">
        <v>69</v>
      </c>
      <c r="E434" s="5">
        <v>-29939</v>
      </c>
      <c r="F434" s="3" t="s">
        <v>110</v>
      </c>
      <c r="G434" s="3" t="s">
        <v>116</v>
      </c>
      <c r="H434" s="2" t="s">
        <v>36</v>
      </c>
      <c r="I434" s="2" t="s">
        <v>1168</v>
      </c>
      <c r="J434" s="3" t="str">
        <f>HYPERLINK("https://www.boe.es/gazeta/dias/1818/01/10/pdfs/GMD-1818-5.pdf#page=12","Abrir facsímil")</f>
        <v>Abrir facsímil</v>
      </c>
      <c r="K434" s="3" t="s">
        <v>38</v>
      </c>
    </row>
    <row r="435" spans="1:11" ht="42" customHeight="1">
      <c r="A435" s="2" t="s">
        <v>1169</v>
      </c>
      <c r="B435" s="2" t="s">
        <v>1170</v>
      </c>
      <c r="C435" s="2" t="s">
        <v>68</v>
      </c>
      <c r="D435" s="2" t="s">
        <v>69</v>
      </c>
      <c r="E435" s="5">
        <v>-29939</v>
      </c>
      <c r="F435" s="3" t="s">
        <v>110</v>
      </c>
      <c r="G435" s="3" t="s">
        <v>116</v>
      </c>
      <c r="H435" s="2" t="s">
        <v>36</v>
      </c>
      <c r="I435" s="2" t="s">
        <v>1171</v>
      </c>
      <c r="J435" s="3" t="str">
        <f>HYPERLINK("https://www.boe.es/gazeta/dias/1818/01/10/pdfs/GMD-1818-5.pdf#page=12","Abrir facsímil")</f>
        <v>Abrir facsímil</v>
      </c>
      <c r="K435" s="3" t="s">
        <v>38</v>
      </c>
    </row>
    <row r="436" spans="1:11" ht="42" customHeight="1">
      <c r="A436" s="2" t="s">
        <v>1172</v>
      </c>
      <c r="B436" s="2" t="s">
        <v>1173</v>
      </c>
      <c r="C436" s="2" t="s">
        <v>57</v>
      </c>
      <c r="D436" s="2" t="s">
        <v>18</v>
      </c>
      <c r="E436" s="5">
        <v>-29689</v>
      </c>
      <c r="F436" s="3" t="s">
        <v>303</v>
      </c>
      <c r="G436" s="3" t="s">
        <v>20</v>
      </c>
      <c r="H436" s="2" t="s">
        <v>36</v>
      </c>
      <c r="I436" s="2" t="s">
        <v>1174</v>
      </c>
      <c r="J436" s="3" t="str">
        <f>HYPERLINK("https://www.boe.es/gazeta/dias/1818/09/17/pdfs/GMD-1818-112.pdf#page=7","Abrir facsímil")</f>
        <v>Abrir facsímil</v>
      </c>
      <c r="K436" s="3" t="s">
        <v>38</v>
      </c>
    </row>
    <row r="437" spans="1:11" ht="42" customHeight="1">
      <c r="A437" s="2" t="s">
        <v>1175</v>
      </c>
      <c r="B437" s="2" t="s">
        <v>1176</v>
      </c>
      <c r="C437" s="2" t="s">
        <v>26</v>
      </c>
      <c r="D437" s="2" t="s">
        <v>27</v>
      </c>
      <c r="E437" s="5">
        <v>-29682</v>
      </c>
      <c r="F437" s="3" t="s">
        <v>170</v>
      </c>
      <c r="G437" s="3" t="s">
        <v>45</v>
      </c>
      <c r="H437" s="2" t="s">
        <v>36</v>
      </c>
      <c r="I437" s="2" t="s">
        <v>1177</v>
      </c>
      <c r="J437" s="3" t="str">
        <f>HYPERLINK("https://www.boe.es/gazeta/dias/1818/09/24/pdfs/GMD-1818-115.pdf#page=8","Abrir facsímil")</f>
        <v>Abrir facsímil</v>
      </c>
      <c r="K437" s="3" t="s">
        <v>38</v>
      </c>
    </row>
    <row r="438" spans="1:11" ht="42" customHeight="1">
      <c r="A438" s="2" t="s">
        <v>1178</v>
      </c>
      <c r="B438" s="2" t="s">
        <v>1179</v>
      </c>
      <c r="C438" s="2" t="s">
        <v>68</v>
      </c>
      <c r="D438" s="2" t="s">
        <v>69</v>
      </c>
      <c r="E438" s="5">
        <v>-29635</v>
      </c>
      <c r="F438" s="3" t="s">
        <v>560</v>
      </c>
      <c r="G438" s="3" t="s">
        <v>59</v>
      </c>
      <c r="H438" s="2" t="s">
        <v>36</v>
      </c>
      <c r="I438" s="2" t="s">
        <v>1180</v>
      </c>
      <c r="J438" s="3" t="str">
        <f>HYPERLINK("https://www.boe.es/gazeta/dias/1818/11/10/pdfs/GMD-1818-136.pdf#page=6","Abrir facsímil")</f>
        <v>Abrir facsímil</v>
      </c>
      <c r="K438" s="3" t="s">
        <v>38</v>
      </c>
    </row>
    <row r="439" spans="1:11" ht="42" customHeight="1">
      <c r="A439" s="2" t="s">
        <v>1181</v>
      </c>
      <c r="B439" s="2" t="s">
        <v>1182</v>
      </c>
      <c r="C439" s="2" t="s">
        <v>68</v>
      </c>
      <c r="D439" s="2" t="s">
        <v>69</v>
      </c>
      <c r="E439" s="5">
        <v>-29915</v>
      </c>
      <c r="F439" s="3" t="s">
        <v>429</v>
      </c>
      <c r="G439" s="3" t="s">
        <v>815</v>
      </c>
      <c r="H439" s="2" t="s">
        <v>36</v>
      </c>
      <c r="I439" s="2" t="s">
        <v>1183</v>
      </c>
      <c r="J439" s="3" t="str">
        <f>HYPERLINK("https://www.boe.es/gazeta/dias/1818/02/03/pdfs/GMD-1818-15.pdf#page=5","Abrir facsímil")</f>
        <v>Abrir facsímil</v>
      </c>
      <c r="K439" s="3" t="s">
        <v>38</v>
      </c>
    </row>
    <row r="440" spans="1:11" ht="42" customHeight="1">
      <c r="A440" s="2" t="s">
        <v>1181</v>
      </c>
      <c r="B440" s="2" t="s">
        <v>1182</v>
      </c>
      <c r="C440" s="2" t="s">
        <v>17</v>
      </c>
      <c r="D440" s="2" t="s">
        <v>18</v>
      </c>
      <c r="E440" s="5">
        <v>-29752</v>
      </c>
      <c r="F440" s="3" t="s">
        <v>165</v>
      </c>
      <c r="G440" s="3" t="s">
        <v>59</v>
      </c>
      <c r="H440" s="2" t="s">
        <v>36</v>
      </c>
      <c r="I440" s="2" t="s">
        <v>1184</v>
      </c>
      <c r="J440" s="3" t="str">
        <f>HYPERLINK("https://www.boe.es/gazeta/dias/1818/07/16/pdfs/GMD-1818-85.pdf#page=6","Abrir facsímil")</f>
        <v>Abrir facsímil</v>
      </c>
      <c r="K440" s="3" t="s">
        <v>38</v>
      </c>
    </row>
    <row r="441" spans="1:11" ht="42" customHeight="1">
      <c r="A441" s="2" t="s">
        <v>1181</v>
      </c>
      <c r="B441" s="2" t="s">
        <v>1182</v>
      </c>
      <c r="C441" s="2" t="s">
        <v>68</v>
      </c>
      <c r="D441" s="2" t="s">
        <v>69</v>
      </c>
      <c r="E441" s="5">
        <v>-29740</v>
      </c>
      <c r="F441" s="3" t="s">
        <v>152</v>
      </c>
      <c r="G441" s="3" t="s">
        <v>85</v>
      </c>
      <c r="H441" s="2" t="s">
        <v>36</v>
      </c>
      <c r="I441" s="2" t="s">
        <v>1185</v>
      </c>
      <c r="J441" s="3" t="str">
        <f>HYPERLINK("https://www.boe.es/gazeta/dias/1818/07/28/pdfs/GMD-1818-90.pdf#page=3","Abrir facsímil")</f>
        <v>Abrir facsímil</v>
      </c>
      <c r="K441" s="3" t="s">
        <v>38</v>
      </c>
    </row>
    <row r="442" spans="1:11" ht="42" customHeight="1">
      <c r="A442" s="2" t="s">
        <v>1181</v>
      </c>
      <c r="B442" s="2" t="s">
        <v>1182</v>
      </c>
      <c r="C442" s="2" t="s">
        <v>26</v>
      </c>
      <c r="D442" s="2" t="s">
        <v>668</v>
      </c>
      <c r="E442" s="5">
        <v>-29661</v>
      </c>
      <c r="F442" s="3" t="s">
        <v>669</v>
      </c>
      <c r="G442" s="3" t="s">
        <v>120</v>
      </c>
      <c r="H442" s="2" t="s">
        <v>36</v>
      </c>
      <c r="I442" s="2" t="s">
        <v>1186</v>
      </c>
      <c r="J442" s="3" t="str">
        <f>HYPERLINK("https://www.boe.es/gazeta/dias/1818/10/15/pdfs/GMD-1818-125E.pdf#page=2","Abrir facsímil")</f>
        <v>Abrir facsímil</v>
      </c>
      <c r="K442" s="3" t="s">
        <v>38</v>
      </c>
    </row>
    <row r="443" spans="1:11" ht="42" customHeight="1">
      <c r="A443" s="2" t="s">
        <v>1181</v>
      </c>
      <c r="B443" s="2" t="s">
        <v>1182</v>
      </c>
      <c r="C443" s="2" t="s">
        <v>57</v>
      </c>
      <c r="D443" s="2" t="s">
        <v>668</v>
      </c>
      <c r="E443" s="5">
        <v>-29588</v>
      </c>
      <c r="F443" s="3" t="s">
        <v>1187</v>
      </c>
      <c r="G443" s="3" t="s">
        <v>1188</v>
      </c>
      <c r="H443" s="2" t="s">
        <v>36</v>
      </c>
      <c r="I443" s="2" t="s">
        <v>1189</v>
      </c>
      <c r="J443" s="3" t="str">
        <f>HYPERLINK("https://www.boe.es/gazeta/dias/1818/12/27/pdfs/GMD-1818-157E.pdf#page=2","Abrir facsímil")</f>
        <v>Abrir facsímil</v>
      </c>
      <c r="K443" s="3" t="s">
        <v>38</v>
      </c>
    </row>
    <row r="444" spans="1:11" ht="42" customHeight="1">
      <c r="A444" s="2" t="s">
        <v>1190</v>
      </c>
      <c r="B444" s="2" t="s">
        <v>1191</v>
      </c>
      <c r="C444" s="2" t="s">
        <v>57</v>
      </c>
      <c r="D444" s="2" t="s">
        <v>18</v>
      </c>
      <c r="E444" s="5">
        <v>-29626</v>
      </c>
      <c r="F444" s="3" t="s">
        <v>496</v>
      </c>
      <c r="G444" s="3" t="s">
        <v>45</v>
      </c>
      <c r="H444" s="2" t="s">
        <v>21</v>
      </c>
      <c r="I444" s="2" t="s">
        <v>1192</v>
      </c>
      <c r="J444" s="3" t="str">
        <f>HYPERLINK("https://www.boe.es/gazeta/dias/1818/11/19/pdfs/GMD-1818-140.pdf#page=8","Abrir facsímil")</f>
        <v>Abrir facsímil</v>
      </c>
      <c r="K444" s="3" t="s">
        <v>23</v>
      </c>
    </row>
    <row r="445" spans="1:11" ht="42" customHeight="1">
      <c r="A445" s="2" t="s">
        <v>1193</v>
      </c>
      <c r="B445" s="2" t="s">
        <v>1194</v>
      </c>
      <c r="C445" s="2" t="s">
        <v>17</v>
      </c>
      <c r="D445" s="2" t="s">
        <v>18</v>
      </c>
      <c r="E445" s="5">
        <v>-29750</v>
      </c>
      <c r="F445" s="3" t="s">
        <v>384</v>
      </c>
      <c r="G445" s="3" t="s">
        <v>59</v>
      </c>
      <c r="H445" s="2" t="s">
        <v>36</v>
      </c>
      <c r="I445" s="2" t="s">
        <v>1195</v>
      </c>
      <c r="J445" s="3" t="str">
        <f>HYPERLINK("https://www.boe.es/gazeta/dias/1818/07/18/pdfs/GMD-1818-86.pdf#page=6","Abrir facsímil")</f>
        <v>Abrir facsímil</v>
      </c>
      <c r="K445" s="3" t="s">
        <v>38</v>
      </c>
    </row>
    <row r="446" spans="1:11" ht="42" customHeight="1">
      <c r="A446" s="2" t="s">
        <v>1196</v>
      </c>
      <c r="B446" s="2" t="s">
        <v>1197</v>
      </c>
      <c r="C446" s="2" t="s">
        <v>26</v>
      </c>
      <c r="D446" s="2" t="s">
        <v>27</v>
      </c>
      <c r="E446" s="5">
        <v>-29806</v>
      </c>
      <c r="F446" s="3" t="s">
        <v>84</v>
      </c>
      <c r="G446" s="3" t="s">
        <v>29</v>
      </c>
      <c r="H446" s="2" t="s">
        <v>36</v>
      </c>
      <c r="I446" s="2" t="s">
        <v>1198</v>
      </c>
      <c r="J446" s="3" t="str">
        <f>HYPERLINK("https://www.boe.es/gazeta/dias/1818/05/23/pdfs/GMD-1818-62.pdf#page=4","Abrir facsímil")</f>
        <v>Abrir facsímil</v>
      </c>
      <c r="K446" s="3" t="s">
        <v>38</v>
      </c>
    </row>
    <row r="447" spans="1:11" ht="42" customHeight="1">
      <c r="A447" s="2" t="s">
        <v>1199</v>
      </c>
      <c r="B447" s="2" t="s">
        <v>1200</v>
      </c>
      <c r="C447" s="2" t="s">
        <v>17</v>
      </c>
      <c r="D447" s="2" t="s">
        <v>18</v>
      </c>
      <c r="E447" s="5">
        <v>-29663</v>
      </c>
      <c r="F447" s="3" t="s">
        <v>1011</v>
      </c>
      <c r="G447" s="3" t="s">
        <v>106</v>
      </c>
      <c r="H447" s="2" t="s">
        <v>36</v>
      </c>
      <c r="I447" s="2" t="s">
        <v>1201</v>
      </c>
      <c r="J447" s="3" t="str">
        <f>HYPERLINK("https://www.boe.es/gazeta/dias/1818/10/13/pdfs/GMD-1818-123.pdf#page=5","Abrir facsímil")</f>
        <v>Abrir facsímil</v>
      </c>
      <c r="K447" s="3" t="s">
        <v>38</v>
      </c>
    </row>
    <row r="448" spans="1:11" ht="42" customHeight="1">
      <c r="A448" s="2" t="s">
        <v>1202</v>
      </c>
      <c r="B448" s="2" t="s">
        <v>1203</v>
      </c>
      <c r="C448" s="2" t="s">
        <v>26</v>
      </c>
      <c r="D448" s="2" t="s">
        <v>27</v>
      </c>
      <c r="E448" s="5">
        <v>-29869</v>
      </c>
      <c r="F448" s="3" t="s">
        <v>140</v>
      </c>
      <c r="G448" s="3" t="s">
        <v>85</v>
      </c>
      <c r="H448" s="2" t="s">
        <v>36</v>
      </c>
      <c r="I448" s="2" t="s">
        <v>1204</v>
      </c>
      <c r="J448" s="3" t="str">
        <f>HYPERLINK("https://www.boe.es/gazeta/dias/1818/03/21/pdfs/GMD-1818-35.pdf#page=3","Abrir facsímil")</f>
        <v>Abrir facsímil</v>
      </c>
      <c r="K448" s="3" t="s">
        <v>38</v>
      </c>
    </row>
    <row r="449" spans="1:11" ht="42" customHeight="1">
      <c r="A449" s="2" t="s">
        <v>1205</v>
      </c>
      <c r="B449" s="2" t="s">
        <v>1206</v>
      </c>
      <c r="C449" s="2" t="s">
        <v>68</v>
      </c>
      <c r="D449" s="2" t="s">
        <v>69</v>
      </c>
      <c r="E449" s="5">
        <v>-29705</v>
      </c>
      <c r="F449" s="3" t="s">
        <v>680</v>
      </c>
      <c r="G449" s="3" t="s">
        <v>45</v>
      </c>
      <c r="H449" s="2" t="s">
        <v>36</v>
      </c>
      <c r="I449" s="2" t="s">
        <v>1207</v>
      </c>
      <c r="J449" s="3" t="str">
        <f>HYPERLINK("https://www.boe.es/gazeta/dias/1818/09/01/pdfs/GMD-1818-105.pdf#page=8","Abrir facsímil")</f>
        <v>Abrir facsímil</v>
      </c>
      <c r="K449" s="3" t="s">
        <v>38</v>
      </c>
    </row>
    <row r="450" spans="1:11" ht="42" customHeight="1">
      <c r="A450" s="2" t="s">
        <v>1208</v>
      </c>
      <c r="B450" s="2" t="s">
        <v>1209</v>
      </c>
      <c r="C450" s="2" t="s">
        <v>26</v>
      </c>
      <c r="D450" s="2" t="s">
        <v>27</v>
      </c>
      <c r="E450" s="5">
        <v>-29752</v>
      </c>
      <c r="F450" s="3" t="s">
        <v>165</v>
      </c>
      <c r="G450" s="3" t="s">
        <v>106</v>
      </c>
      <c r="H450" s="2" t="s">
        <v>36</v>
      </c>
      <c r="I450" s="2" t="s">
        <v>1210</v>
      </c>
      <c r="J450" s="3" t="str">
        <f>HYPERLINK("https://www.boe.es/gazeta/dias/1818/07/16/pdfs/GMD-1818-85.pdf#page=5","Abrir facsímil")</f>
        <v>Abrir facsímil</v>
      </c>
      <c r="K450" s="3" t="s">
        <v>38</v>
      </c>
    </row>
    <row r="451" spans="1:11" ht="42" customHeight="1">
      <c r="A451" s="2" t="s">
        <v>1211</v>
      </c>
      <c r="B451" s="2" t="s">
        <v>1212</v>
      </c>
      <c r="C451" s="2" t="s">
        <v>26</v>
      </c>
      <c r="D451" s="2" t="s">
        <v>27</v>
      </c>
      <c r="E451" s="5">
        <v>-29752</v>
      </c>
      <c r="F451" s="3" t="s">
        <v>165</v>
      </c>
      <c r="G451" s="3" t="s">
        <v>59</v>
      </c>
      <c r="H451" s="2" t="s">
        <v>36</v>
      </c>
      <c r="I451" s="2" t="s">
        <v>1213</v>
      </c>
      <c r="J451" s="3" t="str">
        <f>HYPERLINK("https://www.boe.es/gazeta/dias/1818/07/16/pdfs/GMD-1818-85.pdf#page=6","Abrir facsímil")</f>
        <v>Abrir facsímil</v>
      </c>
      <c r="K451" s="3" t="s">
        <v>38</v>
      </c>
    </row>
    <row r="452" spans="1:11" ht="42" customHeight="1">
      <c r="A452" s="2" t="s">
        <v>1214</v>
      </c>
      <c r="B452" s="2" t="s">
        <v>1215</v>
      </c>
      <c r="C452" s="2" t="s">
        <v>26</v>
      </c>
      <c r="D452" s="2" t="s">
        <v>27</v>
      </c>
      <c r="E452" s="5">
        <v>-29887</v>
      </c>
      <c r="F452" s="3" t="s">
        <v>613</v>
      </c>
      <c r="G452" s="3" t="s">
        <v>20</v>
      </c>
      <c r="H452" s="2" t="s">
        <v>36</v>
      </c>
      <c r="I452" s="2" t="s">
        <v>1216</v>
      </c>
      <c r="J452" s="3" t="str">
        <f>HYPERLINK("https://www.boe.es/gazeta/dias/1818/03/03/pdfs/GMD-1818-27.pdf#page=7","Abrir facsímil")</f>
        <v>Abrir facsímil</v>
      </c>
      <c r="K452" s="3" t="s">
        <v>38</v>
      </c>
    </row>
    <row r="453" spans="1:11" ht="42" customHeight="1">
      <c r="A453" s="2" t="s">
        <v>1217</v>
      </c>
      <c r="B453" s="2" t="s">
        <v>1217</v>
      </c>
      <c r="C453" s="2" t="s">
        <v>26</v>
      </c>
      <c r="D453" s="2" t="s">
        <v>27</v>
      </c>
      <c r="E453" s="5">
        <v>-29892</v>
      </c>
      <c r="F453" s="3" t="s">
        <v>39</v>
      </c>
      <c r="G453" s="3" t="s">
        <v>85</v>
      </c>
      <c r="H453" s="2" t="s">
        <v>36</v>
      </c>
      <c r="I453" s="2" t="s">
        <v>1218</v>
      </c>
      <c r="J453" s="3" t="str">
        <f>HYPERLINK("https://www.boe.es/gazeta/dias/1818/02/26/pdfs/GMD-1818-25.pdf#page=3","Abrir facsímil")</f>
        <v>Abrir facsímil</v>
      </c>
      <c r="K453" s="3" t="s">
        <v>38</v>
      </c>
    </row>
    <row r="454" spans="1:11" ht="42" customHeight="1">
      <c r="A454" s="2" t="s">
        <v>1219</v>
      </c>
      <c r="B454" s="2" t="s">
        <v>1220</v>
      </c>
      <c r="C454" s="2" t="s">
        <v>57</v>
      </c>
      <c r="D454" s="2" t="s">
        <v>18</v>
      </c>
      <c r="E454" s="5">
        <v>-29880</v>
      </c>
      <c r="F454" s="3" t="s">
        <v>359</v>
      </c>
      <c r="G454" s="3" t="s">
        <v>1221</v>
      </c>
      <c r="H454" s="2" t="s">
        <v>36</v>
      </c>
      <c r="I454" s="2" t="s">
        <v>1222</v>
      </c>
      <c r="J454" s="3" t="str">
        <f>HYPERLINK("https://www.boe.es/gazeta/dias/1818/03/10/pdfs/GMD-1818-30.pdf#page=8","Abrir facsímil")</f>
        <v>Abrir facsímil</v>
      </c>
      <c r="K454" s="3" t="s">
        <v>38</v>
      </c>
    </row>
    <row r="455" spans="1:11" ht="42" customHeight="1">
      <c r="A455" s="2" t="s">
        <v>1223</v>
      </c>
      <c r="B455" s="2" t="s">
        <v>1224</v>
      </c>
      <c r="C455" s="2" t="s">
        <v>17</v>
      </c>
      <c r="D455" s="2" t="s">
        <v>18</v>
      </c>
      <c r="E455" s="5">
        <v>-29624</v>
      </c>
      <c r="F455" s="3" t="s">
        <v>131</v>
      </c>
      <c r="G455" s="3" t="s">
        <v>20</v>
      </c>
      <c r="H455" s="2" t="s">
        <v>36</v>
      </c>
      <c r="I455" s="2" t="s">
        <v>1225</v>
      </c>
      <c r="J455" s="3" t="str">
        <f>HYPERLINK("https://www.boe.es/gazeta/dias/1818/11/21/pdfs/GMD-1818-141.pdf#page=7","Abrir facsímil")</f>
        <v>Abrir facsímil</v>
      </c>
      <c r="K455" s="3" t="s">
        <v>38</v>
      </c>
    </row>
    <row r="456" spans="1:11" ht="42" customHeight="1">
      <c r="A456" s="2" t="s">
        <v>1226</v>
      </c>
      <c r="B456" s="2" t="s">
        <v>1227</v>
      </c>
      <c r="C456" s="2" t="s">
        <v>26</v>
      </c>
      <c r="D456" s="2" t="s">
        <v>27</v>
      </c>
      <c r="E456" s="5">
        <v>-29682</v>
      </c>
      <c r="F456" s="3" t="s">
        <v>170</v>
      </c>
      <c r="G456" s="3" t="s">
        <v>20</v>
      </c>
      <c r="H456" s="2" t="s">
        <v>36</v>
      </c>
      <c r="I456" s="2" t="s">
        <v>1228</v>
      </c>
      <c r="J456" s="3" t="str">
        <f>HYPERLINK("https://www.boe.es/gazeta/dias/1818/09/24/pdfs/GMD-1818-115.pdf#page=7","Abrir facsímil")</f>
        <v>Abrir facsímil</v>
      </c>
      <c r="K456" s="3" t="s">
        <v>38</v>
      </c>
    </row>
    <row r="457" spans="1:11" ht="42" customHeight="1">
      <c r="A457" s="2" t="s">
        <v>1229</v>
      </c>
      <c r="B457" s="2" t="s">
        <v>1229</v>
      </c>
      <c r="C457" s="2" t="s">
        <v>26</v>
      </c>
      <c r="D457" s="2" t="s">
        <v>27</v>
      </c>
      <c r="E457" s="5">
        <v>-29624</v>
      </c>
      <c r="F457" s="3" t="s">
        <v>131</v>
      </c>
      <c r="G457" s="3" t="s">
        <v>1230</v>
      </c>
      <c r="H457" s="2" t="s">
        <v>36</v>
      </c>
      <c r="I457" s="2" t="s">
        <v>1231</v>
      </c>
      <c r="J457" s="3" t="str">
        <f>HYPERLINK("https://www.boe.es/gazeta/dias/1818/11/21/pdfs/GMD-1818-141.pdf#page=6","Abrir facsímil")</f>
        <v>Abrir facsímil</v>
      </c>
      <c r="K457" s="3" t="s">
        <v>38</v>
      </c>
    </row>
    <row r="458" spans="1:11" ht="42" customHeight="1">
      <c r="A458" s="2" t="s">
        <v>1232</v>
      </c>
      <c r="B458" s="2" t="s">
        <v>1233</v>
      </c>
      <c r="C458" s="2" t="s">
        <v>17</v>
      </c>
      <c r="D458" s="2" t="s">
        <v>18</v>
      </c>
      <c r="E458" s="5">
        <v>-29724</v>
      </c>
      <c r="F458" s="3" t="s">
        <v>370</v>
      </c>
      <c r="G458" s="3" t="s">
        <v>29</v>
      </c>
      <c r="H458" s="2" t="s">
        <v>36</v>
      </c>
      <c r="I458" s="2" t="s">
        <v>1234</v>
      </c>
      <c r="J458" s="3" t="str">
        <f>HYPERLINK("https://www.boe.es/gazeta/dias/1818/08/13/pdfs/GMD-1818-97.pdf#page=4","Abrir facsímil")</f>
        <v>Abrir facsímil</v>
      </c>
      <c r="K458" s="3" t="s">
        <v>38</v>
      </c>
    </row>
    <row r="459" spans="1:11" ht="42" customHeight="1">
      <c r="A459" s="2" t="s">
        <v>1232</v>
      </c>
      <c r="B459" s="2" t="s">
        <v>1233</v>
      </c>
      <c r="C459" s="2" t="s">
        <v>26</v>
      </c>
      <c r="D459" s="2" t="s">
        <v>27</v>
      </c>
      <c r="E459" s="5">
        <v>-29624</v>
      </c>
      <c r="F459" s="3" t="s">
        <v>131</v>
      </c>
      <c r="G459" s="3" t="s">
        <v>1230</v>
      </c>
      <c r="H459" s="2" t="s">
        <v>36</v>
      </c>
      <c r="I459" s="2" t="s">
        <v>1235</v>
      </c>
      <c r="J459" s="3" t="str">
        <f>HYPERLINK("https://www.boe.es/gazeta/dias/1818/11/21/pdfs/GMD-1818-141.pdf#page=6","Abrir facsímil")</f>
        <v>Abrir facsímil</v>
      </c>
      <c r="K459" s="3" t="s">
        <v>38</v>
      </c>
    </row>
    <row r="460" spans="1:11" ht="42" customHeight="1">
      <c r="A460" s="2" t="s">
        <v>1236</v>
      </c>
      <c r="B460" s="2" t="s">
        <v>1237</v>
      </c>
      <c r="C460" s="2" t="s">
        <v>63</v>
      </c>
      <c r="D460" s="2" t="s">
        <v>18</v>
      </c>
      <c r="E460" s="5">
        <v>-29761</v>
      </c>
      <c r="F460" s="3" t="s">
        <v>168</v>
      </c>
      <c r="G460" s="3" t="s">
        <v>1238</v>
      </c>
      <c r="H460" s="2" t="s">
        <v>36</v>
      </c>
      <c r="I460" s="2" t="s">
        <v>1239</v>
      </c>
      <c r="J460" s="3" t="str">
        <f>HYPERLINK("https://www.boe.es/gazeta/dias/1818/07/07/pdfs/GMD-1818-81.pdf#page=8","Abrir facsímil")</f>
        <v>Abrir facsímil</v>
      </c>
      <c r="K460" s="3" t="s">
        <v>38</v>
      </c>
    </row>
    <row r="461" spans="1:11" ht="42" customHeight="1">
      <c r="A461" s="2" t="s">
        <v>1240</v>
      </c>
      <c r="B461" s="2" t="s">
        <v>1241</v>
      </c>
      <c r="C461" s="2" t="s">
        <v>68</v>
      </c>
      <c r="D461" s="2" t="s">
        <v>69</v>
      </c>
      <c r="E461" s="5">
        <v>-29869</v>
      </c>
      <c r="F461" s="3" t="s">
        <v>140</v>
      </c>
      <c r="G461" s="3" t="s">
        <v>59</v>
      </c>
      <c r="H461" s="2" t="s">
        <v>36</v>
      </c>
      <c r="I461" s="2" t="s">
        <v>1242</v>
      </c>
      <c r="J461" s="3" t="str">
        <f>HYPERLINK("https://www.boe.es/gazeta/dias/1818/03/21/pdfs/GMD-1818-35.pdf#page=6","Abrir facsímil")</f>
        <v>Abrir facsímil</v>
      </c>
      <c r="K461" s="3" t="s">
        <v>38</v>
      </c>
    </row>
    <row r="462" spans="1:11" ht="42" customHeight="1">
      <c r="A462" s="2" t="s">
        <v>1243</v>
      </c>
      <c r="B462" s="2" t="s">
        <v>1244</v>
      </c>
      <c r="C462" s="2" t="s">
        <v>17</v>
      </c>
      <c r="D462" s="2" t="s">
        <v>18</v>
      </c>
      <c r="E462" s="5">
        <v>-29775</v>
      </c>
      <c r="F462" s="3" t="s">
        <v>1245</v>
      </c>
      <c r="G462" s="3" t="s">
        <v>106</v>
      </c>
      <c r="H462" s="2" t="s">
        <v>36</v>
      </c>
      <c r="I462" s="2" t="s">
        <v>1246</v>
      </c>
      <c r="J462" s="3" t="str">
        <f>HYPERLINK("https://www.boe.es/gazeta/dias/1818/06/23/pdfs/GMD-1818-75.pdf#page=5","Abrir facsímil")</f>
        <v>Abrir facsímil</v>
      </c>
      <c r="K462" s="3" t="s">
        <v>38</v>
      </c>
    </row>
    <row r="463" spans="1:11" ht="42" customHeight="1">
      <c r="A463" s="2" t="s">
        <v>1247</v>
      </c>
      <c r="B463" s="2" t="s">
        <v>1248</v>
      </c>
      <c r="C463" s="2" t="s">
        <v>26</v>
      </c>
      <c r="D463" s="2" t="s">
        <v>27</v>
      </c>
      <c r="E463" s="5">
        <v>-29792</v>
      </c>
      <c r="F463" s="3" t="s">
        <v>948</v>
      </c>
      <c r="G463" s="3" t="s">
        <v>20</v>
      </c>
      <c r="H463" s="2" t="s">
        <v>36</v>
      </c>
      <c r="I463" s="2" t="s">
        <v>1249</v>
      </c>
      <c r="J463" s="3" t="str">
        <f>HYPERLINK("https://www.boe.es/gazeta/dias/1818/06/06/pdfs/GMD-1818-68.pdf#page=7","Abrir facsímil")</f>
        <v>Abrir facsímil</v>
      </c>
      <c r="K463" s="3" t="s">
        <v>38</v>
      </c>
    </row>
    <row r="464" spans="1:11" ht="42" customHeight="1">
      <c r="A464" s="2" t="s">
        <v>1250</v>
      </c>
      <c r="B464" s="2" t="s">
        <v>1251</v>
      </c>
      <c r="C464" s="2" t="s">
        <v>26</v>
      </c>
      <c r="D464" s="2" t="s">
        <v>27</v>
      </c>
      <c r="E464" s="5">
        <v>-29904</v>
      </c>
      <c r="F464" s="3" t="s">
        <v>451</v>
      </c>
      <c r="G464" s="3" t="s">
        <v>45</v>
      </c>
      <c r="H464" s="2" t="s">
        <v>21</v>
      </c>
      <c r="I464" s="2" t="s">
        <v>1252</v>
      </c>
      <c r="J464" s="3" t="str">
        <f>HYPERLINK("https://www.boe.es/gazeta/dias/1818/02/14/pdfs/GMD-1818-20.pdf#page=8","Abrir facsímil")</f>
        <v>Abrir facsímil</v>
      </c>
      <c r="K464" s="3" t="s">
        <v>23</v>
      </c>
    </row>
    <row r="465" spans="1:11" ht="42" customHeight="1">
      <c r="A465" s="2" t="s">
        <v>1253</v>
      </c>
      <c r="B465" s="2" t="s">
        <v>1254</v>
      </c>
      <c r="C465" s="2" t="s">
        <v>68</v>
      </c>
      <c r="D465" s="2" t="s">
        <v>69</v>
      </c>
      <c r="E465" s="5">
        <v>-29946</v>
      </c>
      <c r="F465" s="3" t="s">
        <v>724</v>
      </c>
      <c r="G465" s="3" t="s">
        <v>45</v>
      </c>
      <c r="H465" s="2" t="s">
        <v>36</v>
      </c>
      <c r="I465" s="2" t="s">
        <v>1255</v>
      </c>
      <c r="J465" s="3" t="str">
        <f>HYPERLINK("https://www.boe.es/gazeta/dias/1818/01/03/pdfs/GMD-1818-2.pdf#page=8","Abrir facsímil")</f>
        <v>Abrir facsímil</v>
      </c>
      <c r="K465" s="3" t="s">
        <v>38</v>
      </c>
    </row>
    <row r="466" spans="1:11" ht="42" customHeight="1">
      <c r="A466" s="2" t="s">
        <v>1256</v>
      </c>
      <c r="B466" s="2" t="s">
        <v>1256</v>
      </c>
      <c r="C466" s="2" t="s">
        <v>26</v>
      </c>
      <c r="D466" s="2" t="s">
        <v>27</v>
      </c>
      <c r="E466" s="5">
        <v>-29754</v>
      </c>
      <c r="F466" s="3" t="s">
        <v>466</v>
      </c>
      <c r="G466" s="3" t="s">
        <v>120</v>
      </c>
      <c r="H466" s="2" t="s">
        <v>36</v>
      </c>
      <c r="I466" s="2" t="s">
        <v>1257</v>
      </c>
      <c r="J466" s="3" t="str">
        <f>HYPERLINK("https://www.boe.es/gazeta/dias/1818/07/14/pdfs/GMD-1818-84.pdf#page=2","Abrir facsímil")</f>
        <v>Abrir facsímil</v>
      </c>
      <c r="K466" s="3" t="s">
        <v>38</v>
      </c>
    </row>
    <row r="467" spans="1:11" ht="42" customHeight="1">
      <c r="A467" s="2" t="s">
        <v>1258</v>
      </c>
      <c r="B467" s="2" t="s">
        <v>1259</v>
      </c>
      <c r="C467" s="2" t="s">
        <v>63</v>
      </c>
      <c r="D467" s="2" t="s">
        <v>18</v>
      </c>
      <c r="E467" s="5">
        <v>-29771</v>
      </c>
      <c r="F467" s="3" t="s">
        <v>1260</v>
      </c>
      <c r="G467" s="3" t="s">
        <v>45</v>
      </c>
      <c r="H467" s="2" t="s">
        <v>36</v>
      </c>
      <c r="I467" s="2" t="s">
        <v>1261</v>
      </c>
      <c r="J467" s="3" t="str">
        <f>HYPERLINK("https://www.boe.es/gazeta/dias/1818/06/27/pdfs/GMD-1818-77.pdf#page=8","Abrir facsímil")</f>
        <v>Abrir facsímil</v>
      </c>
      <c r="K467" s="3" t="s">
        <v>38</v>
      </c>
    </row>
    <row r="468" spans="1:11" ht="42" customHeight="1">
      <c r="A468" s="2" t="s">
        <v>1262</v>
      </c>
      <c r="B468" s="2" t="s">
        <v>1263</v>
      </c>
      <c r="C468" s="2" t="s">
        <v>17</v>
      </c>
      <c r="D468" s="2" t="s">
        <v>18</v>
      </c>
      <c r="E468" s="5">
        <v>-29600</v>
      </c>
      <c r="F468" s="3" t="s">
        <v>697</v>
      </c>
      <c r="G468" s="3" t="s">
        <v>59</v>
      </c>
      <c r="H468" s="2" t="s">
        <v>36</v>
      </c>
      <c r="I468" s="2" t="s">
        <v>1264</v>
      </c>
      <c r="J468" s="3" t="str">
        <f>HYPERLINK("https://www.boe.es/gazeta/dias/1818/12/15/pdfs/GMD-1818-151.pdf#page=6","Abrir facsímil")</f>
        <v>Abrir facsímil</v>
      </c>
      <c r="K468" s="3" t="s">
        <v>38</v>
      </c>
    </row>
    <row r="469" spans="1:11" ht="42" customHeight="1">
      <c r="A469" s="2" t="s">
        <v>1265</v>
      </c>
      <c r="B469" s="2" t="s">
        <v>1266</v>
      </c>
      <c r="C469" s="2" t="s">
        <v>26</v>
      </c>
      <c r="D469" s="2" t="s">
        <v>27</v>
      </c>
      <c r="E469" s="5">
        <v>-29904</v>
      </c>
      <c r="F469" s="3" t="s">
        <v>451</v>
      </c>
      <c r="G469" s="3" t="s">
        <v>20</v>
      </c>
      <c r="H469" s="2" t="s">
        <v>36</v>
      </c>
      <c r="I469" s="2" t="s">
        <v>1267</v>
      </c>
      <c r="J469" s="3" t="str">
        <f>HYPERLINK("https://www.boe.es/gazeta/dias/1818/02/14/pdfs/GMD-1818-20.pdf#page=7","Abrir facsímil")</f>
        <v>Abrir facsímil</v>
      </c>
      <c r="K469" s="3" t="s">
        <v>38</v>
      </c>
    </row>
    <row r="470" spans="1:11" ht="42" customHeight="1">
      <c r="A470" s="2" t="s">
        <v>1268</v>
      </c>
      <c r="B470" s="2" t="s">
        <v>1269</v>
      </c>
      <c r="C470" s="2" t="s">
        <v>17</v>
      </c>
      <c r="D470" s="2" t="s">
        <v>18</v>
      </c>
      <c r="E470" s="5">
        <v>-29904</v>
      </c>
      <c r="F470" s="3" t="s">
        <v>451</v>
      </c>
      <c r="G470" s="3" t="s">
        <v>45</v>
      </c>
      <c r="H470" s="2" t="s">
        <v>21</v>
      </c>
      <c r="I470" s="2" t="s">
        <v>1270</v>
      </c>
      <c r="J470" s="3" t="str">
        <f>HYPERLINK("https://www.boe.es/gazeta/dias/1818/02/14/pdfs/GMD-1818-20.pdf#page=8","Abrir facsímil")</f>
        <v>Abrir facsímil</v>
      </c>
      <c r="K470" s="3" t="s">
        <v>23</v>
      </c>
    </row>
    <row r="471" spans="1:11" ht="42" customHeight="1">
      <c r="A471" s="2" t="s">
        <v>1271</v>
      </c>
      <c r="B471" s="2" t="s">
        <v>1272</v>
      </c>
      <c r="C471" s="2" t="s">
        <v>26</v>
      </c>
      <c r="D471" s="2" t="s">
        <v>27</v>
      </c>
      <c r="E471" s="5">
        <v>-29904</v>
      </c>
      <c r="F471" s="3" t="s">
        <v>451</v>
      </c>
      <c r="G471" s="3" t="s">
        <v>45</v>
      </c>
      <c r="H471" s="2" t="s">
        <v>36</v>
      </c>
      <c r="I471" s="2" t="s">
        <v>1273</v>
      </c>
      <c r="J471" s="3" t="str">
        <f>HYPERLINK("https://www.boe.es/gazeta/dias/1818/02/14/pdfs/GMD-1818-20.pdf#page=8","Abrir facsímil")</f>
        <v>Abrir facsímil</v>
      </c>
      <c r="K471" s="3" t="s">
        <v>38</v>
      </c>
    </row>
    <row r="472" spans="1:11" ht="42" customHeight="1">
      <c r="A472" s="2" t="s">
        <v>1274</v>
      </c>
      <c r="B472" s="2" t="s">
        <v>1275</v>
      </c>
      <c r="C472" s="2" t="s">
        <v>26</v>
      </c>
      <c r="D472" s="2" t="s">
        <v>27</v>
      </c>
      <c r="E472" s="5">
        <v>-29920</v>
      </c>
      <c r="F472" s="3" t="s">
        <v>201</v>
      </c>
      <c r="G472" s="3" t="s">
        <v>71</v>
      </c>
      <c r="H472" s="2" t="s">
        <v>36</v>
      </c>
      <c r="I472" s="2" t="s">
        <v>1276</v>
      </c>
      <c r="J472" s="3" t="str">
        <f>HYPERLINK("https://www.boe.es/gazeta/dias/1818/01/29/pdfs/GMD-1818-13.pdf#page=16","Abrir facsímil")</f>
        <v>Abrir facsímil</v>
      </c>
      <c r="K472" s="3" t="s">
        <v>38</v>
      </c>
    </row>
    <row r="473" spans="1:11" ht="42" customHeight="1">
      <c r="A473" s="2" t="s">
        <v>1277</v>
      </c>
      <c r="B473" s="2" t="s">
        <v>1278</v>
      </c>
      <c r="C473" s="2" t="s">
        <v>63</v>
      </c>
      <c r="D473" s="2" t="s">
        <v>18</v>
      </c>
      <c r="E473" s="5">
        <v>-29729</v>
      </c>
      <c r="F473" s="3" t="s">
        <v>488</v>
      </c>
      <c r="G473" s="3" t="s">
        <v>489</v>
      </c>
      <c r="H473" s="2" t="s">
        <v>36</v>
      </c>
      <c r="I473" s="2" t="s">
        <v>1279</v>
      </c>
      <c r="J473" s="3" t="str">
        <f>HYPERLINK("https://www.boe.es/gazeta/dias/1818/08/08/pdfs/GMD-1818-95.pdf#page=8","Abrir facsímil")</f>
        <v>Abrir facsímil</v>
      </c>
      <c r="K473" s="3" t="s">
        <v>38</v>
      </c>
    </row>
    <row r="474" spans="1:11" ht="42" customHeight="1">
      <c r="A474" s="2" t="s">
        <v>1280</v>
      </c>
      <c r="B474" s="2" t="s">
        <v>1281</v>
      </c>
      <c r="C474" s="2" t="s">
        <v>215</v>
      </c>
      <c r="D474" s="2" t="s">
        <v>18</v>
      </c>
      <c r="E474" s="5">
        <v>-29894</v>
      </c>
      <c r="F474" s="3" t="s">
        <v>820</v>
      </c>
      <c r="G474" s="3" t="s">
        <v>20</v>
      </c>
      <c r="H474" s="2" t="s">
        <v>36</v>
      </c>
      <c r="I474" s="2" t="s">
        <v>1282</v>
      </c>
      <c r="J474" s="3" t="str">
        <f>HYPERLINK("https://www.boe.es/gazeta/dias/1818/02/24/pdfs/GMD-1818-24.pdf#page=7","Abrir facsímil")</f>
        <v>Abrir facsímil</v>
      </c>
      <c r="K474" s="3" t="s">
        <v>38</v>
      </c>
    </row>
    <row r="475" spans="1:11" ht="42" customHeight="1">
      <c r="A475" s="2" t="s">
        <v>1283</v>
      </c>
      <c r="B475" s="2" t="s">
        <v>1284</v>
      </c>
      <c r="C475" s="2" t="s">
        <v>17</v>
      </c>
      <c r="D475" s="2" t="s">
        <v>18</v>
      </c>
      <c r="E475" s="5">
        <v>-29922</v>
      </c>
      <c r="F475" s="3" t="s">
        <v>174</v>
      </c>
      <c r="G475" s="3" t="s">
        <v>20</v>
      </c>
      <c r="H475" s="2" t="s">
        <v>36</v>
      </c>
      <c r="I475" s="2" t="s">
        <v>1285</v>
      </c>
      <c r="J475" s="3" t="str">
        <f>HYPERLINK("https://www.boe.es/gazeta/dias/1818/01/27/pdfs/GMD-1818-12.pdf#page=7","Abrir facsímil")</f>
        <v>Abrir facsímil</v>
      </c>
      <c r="K475" s="3" t="s">
        <v>38</v>
      </c>
    </row>
    <row r="476" spans="1:11" ht="42" customHeight="1">
      <c r="A476" s="2" t="s">
        <v>1286</v>
      </c>
      <c r="B476" s="2" t="s">
        <v>1287</v>
      </c>
      <c r="C476" s="2" t="s">
        <v>57</v>
      </c>
      <c r="D476" s="2" t="s">
        <v>18</v>
      </c>
      <c r="E476" s="5">
        <v>-29584</v>
      </c>
      <c r="F476" s="3" t="s">
        <v>1002</v>
      </c>
      <c r="G476" s="3" t="s">
        <v>45</v>
      </c>
      <c r="H476" s="2" t="s">
        <v>36</v>
      </c>
      <c r="I476" s="2" t="s">
        <v>1288</v>
      </c>
      <c r="J476" s="3" t="str">
        <f>HYPERLINK("https://www.boe.es/gazeta/dias/1818/12/31/pdfs/GMD-1818-159.pdf#page=8","Abrir facsímil")</f>
        <v>Abrir facsímil</v>
      </c>
      <c r="K476" s="3" t="s">
        <v>38</v>
      </c>
    </row>
    <row r="477" spans="1:11" ht="42" customHeight="1">
      <c r="A477" s="2" t="s">
        <v>1289</v>
      </c>
      <c r="B477" s="2" t="s">
        <v>1290</v>
      </c>
      <c r="C477" s="2" t="s">
        <v>26</v>
      </c>
      <c r="D477" s="2" t="s">
        <v>27</v>
      </c>
      <c r="E477" s="5">
        <v>-29934</v>
      </c>
      <c r="F477" s="3" t="s">
        <v>53</v>
      </c>
      <c r="G477" s="3" t="s">
        <v>20</v>
      </c>
      <c r="H477" s="2" t="s">
        <v>21</v>
      </c>
      <c r="I477" s="2" t="s">
        <v>1291</v>
      </c>
      <c r="J477" s="3" t="str">
        <f>HYPERLINK("https://www.boe.es/gazeta/dias/1818/01/15/pdfs/GMD-1818-7.pdf#page=7","Abrir facsímil")</f>
        <v>Abrir facsímil</v>
      </c>
      <c r="K477" s="3" t="s">
        <v>23</v>
      </c>
    </row>
    <row r="478" spans="1:11" ht="42" customHeight="1">
      <c r="A478" s="2" t="s">
        <v>1292</v>
      </c>
      <c r="B478" s="2" t="s">
        <v>1293</v>
      </c>
      <c r="C478" s="2" t="s">
        <v>26</v>
      </c>
      <c r="D478" s="2" t="s">
        <v>27</v>
      </c>
      <c r="E478" s="5">
        <v>-29754</v>
      </c>
      <c r="F478" s="3" t="s">
        <v>466</v>
      </c>
      <c r="G478" s="3" t="s">
        <v>59</v>
      </c>
      <c r="H478" s="2" t="s">
        <v>36</v>
      </c>
      <c r="I478" s="2" t="s">
        <v>1294</v>
      </c>
      <c r="J478" s="3" t="str">
        <f>HYPERLINK("https://www.boe.es/gazeta/dias/1818/07/14/pdfs/GMD-1818-84.pdf#page=6","Abrir facsímil")</f>
        <v>Abrir facsímil</v>
      </c>
      <c r="K478" s="3" t="s">
        <v>38</v>
      </c>
    </row>
    <row r="479" spans="1:11" ht="42" customHeight="1">
      <c r="A479" s="2" t="s">
        <v>1295</v>
      </c>
      <c r="B479" s="2" t="s">
        <v>1296</v>
      </c>
      <c r="C479" s="2" t="s">
        <v>26</v>
      </c>
      <c r="D479" s="2" t="s">
        <v>27</v>
      </c>
      <c r="E479" s="5">
        <v>-29719</v>
      </c>
      <c r="F479" s="3" t="s">
        <v>243</v>
      </c>
      <c r="G479" s="3" t="s">
        <v>59</v>
      </c>
      <c r="H479" s="2" t="s">
        <v>21</v>
      </c>
      <c r="I479" s="2" t="s">
        <v>1297</v>
      </c>
      <c r="J479" s="3" t="str">
        <f>HYPERLINK("https://www.boe.es/gazeta/dias/1818/08/18/pdfs/GMD-1818-99.pdf#page=6","Abrir facsímil")</f>
        <v>Abrir facsímil</v>
      </c>
      <c r="K479" s="3" t="s">
        <v>23</v>
      </c>
    </row>
    <row r="480" spans="1:11" ht="42" customHeight="1">
      <c r="A480" s="2" t="s">
        <v>1298</v>
      </c>
      <c r="B480" s="2" t="s">
        <v>1299</v>
      </c>
      <c r="C480" s="2" t="s">
        <v>26</v>
      </c>
      <c r="D480" s="2" t="s">
        <v>27</v>
      </c>
      <c r="E480" s="5">
        <v>-29698</v>
      </c>
      <c r="F480" s="3" t="s">
        <v>148</v>
      </c>
      <c r="G480" s="3" t="s">
        <v>29</v>
      </c>
      <c r="H480" s="2" t="s">
        <v>36</v>
      </c>
      <c r="I480" s="2" t="s">
        <v>1300</v>
      </c>
      <c r="J480" s="3" t="str">
        <f>HYPERLINK("https://www.boe.es/gazeta/dias/1818/09/08/pdfs/GMD-1818-108.pdf#page=4","Abrir facsímil")</f>
        <v>Abrir facsímil</v>
      </c>
      <c r="K480" s="3" t="s">
        <v>38</v>
      </c>
    </row>
    <row r="481" spans="1:11" ht="42" customHeight="1">
      <c r="A481" s="2" t="s">
        <v>1301</v>
      </c>
      <c r="B481" s="2" t="s">
        <v>1302</v>
      </c>
      <c r="C481" s="2" t="s">
        <v>17</v>
      </c>
      <c r="D481" s="2" t="s">
        <v>18</v>
      </c>
      <c r="E481" s="5">
        <v>-29698</v>
      </c>
      <c r="F481" s="3" t="s">
        <v>148</v>
      </c>
      <c r="G481" s="3" t="s">
        <v>29</v>
      </c>
      <c r="H481" s="2" t="s">
        <v>36</v>
      </c>
      <c r="I481" s="2" t="s">
        <v>1303</v>
      </c>
      <c r="J481" s="3" t="str">
        <f>HYPERLINK("https://www.boe.es/gazeta/dias/1818/09/08/pdfs/GMD-1818-108.pdf#page=4","Abrir facsímil")</f>
        <v>Abrir facsímil</v>
      </c>
      <c r="K481" s="3" t="s">
        <v>38</v>
      </c>
    </row>
    <row r="482" spans="1:11" ht="42" customHeight="1">
      <c r="A482" s="2" t="s">
        <v>1304</v>
      </c>
      <c r="B482" s="2" t="s">
        <v>1305</v>
      </c>
      <c r="C482" s="2" t="s">
        <v>26</v>
      </c>
      <c r="D482" s="2" t="s">
        <v>27</v>
      </c>
      <c r="E482" s="5">
        <v>-29922</v>
      </c>
      <c r="F482" s="3" t="s">
        <v>174</v>
      </c>
      <c r="G482" s="3" t="s">
        <v>45</v>
      </c>
      <c r="H482" s="2" t="s">
        <v>21</v>
      </c>
      <c r="I482" s="2" t="s">
        <v>1306</v>
      </c>
      <c r="J482" s="3" t="str">
        <f>HYPERLINK("https://www.boe.es/gazeta/dias/1818/01/27/pdfs/GMD-1818-12.pdf#page=8","Abrir facsímil")</f>
        <v>Abrir facsímil</v>
      </c>
      <c r="K482" s="3" t="s">
        <v>23</v>
      </c>
    </row>
    <row r="483" spans="1:11" ht="42" customHeight="1">
      <c r="A483" s="2" t="s">
        <v>1307</v>
      </c>
      <c r="B483" s="2" t="s">
        <v>1308</v>
      </c>
      <c r="C483" s="2" t="s">
        <v>33</v>
      </c>
      <c r="D483" s="2" t="s">
        <v>18</v>
      </c>
      <c r="E483" s="5">
        <v>-29712</v>
      </c>
      <c r="F483" s="3" t="s">
        <v>1309</v>
      </c>
      <c r="G483" s="3" t="s">
        <v>1310</v>
      </c>
      <c r="H483" s="2" t="s">
        <v>21</v>
      </c>
      <c r="I483" s="2" t="s">
        <v>1311</v>
      </c>
      <c r="J483" s="3" t="str">
        <f>HYPERLINK("https://www.boe.es/gazeta/dias/1818/08/25/pdfs/GMD-1818-102.pdf#page=8","Abrir facsímil")</f>
        <v>Abrir facsímil</v>
      </c>
      <c r="K483" s="3" t="s">
        <v>23</v>
      </c>
    </row>
    <row r="484" spans="1:11" ht="42" customHeight="1">
      <c r="A484" s="2" t="s">
        <v>1312</v>
      </c>
      <c r="B484" s="2" t="s">
        <v>1313</v>
      </c>
      <c r="C484" s="2" t="s">
        <v>26</v>
      </c>
      <c r="D484" s="2" t="s">
        <v>27</v>
      </c>
      <c r="E484" s="5">
        <v>-29920</v>
      </c>
      <c r="F484" s="3" t="s">
        <v>201</v>
      </c>
      <c r="G484" s="3" t="s">
        <v>106</v>
      </c>
      <c r="H484" s="2" t="s">
        <v>36</v>
      </c>
      <c r="I484" s="2" t="s">
        <v>1314</v>
      </c>
      <c r="J484" s="3" t="str">
        <f>HYPERLINK("https://www.boe.es/gazeta/dias/1818/01/29/pdfs/GMD-1818-13.pdf#page=5","Abrir facsímil")</f>
        <v>Abrir facsímil</v>
      </c>
      <c r="K484" s="3" t="s">
        <v>38</v>
      </c>
    </row>
    <row r="485" spans="1:11" ht="42" customHeight="1">
      <c r="A485" s="2" t="s">
        <v>1315</v>
      </c>
      <c r="B485" s="2" t="s">
        <v>1316</v>
      </c>
      <c r="C485" s="2" t="s">
        <v>33</v>
      </c>
      <c r="D485" s="2" t="s">
        <v>18</v>
      </c>
      <c r="E485" s="5">
        <v>-29698</v>
      </c>
      <c r="F485" s="3" t="s">
        <v>148</v>
      </c>
      <c r="G485" s="3" t="s">
        <v>29</v>
      </c>
      <c r="H485" s="2" t="s">
        <v>36</v>
      </c>
      <c r="I485" s="2" t="s">
        <v>1317</v>
      </c>
      <c r="J485" s="3" t="str">
        <f>HYPERLINK("https://www.boe.es/gazeta/dias/1818/09/08/pdfs/GMD-1818-108.pdf#page=4","Abrir facsímil")</f>
        <v>Abrir facsímil</v>
      </c>
      <c r="K485" s="3" t="s">
        <v>38</v>
      </c>
    </row>
    <row r="486" spans="1:11" ht="42" customHeight="1">
      <c r="A486" s="2" t="s">
        <v>1318</v>
      </c>
      <c r="B486" s="2" t="s">
        <v>1319</v>
      </c>
      <c r="C486" s="2" t="s">
        <v>33</v>
      </c>
      <c r="D486" s="2" t="s">
        <v>18</v>
      </c>
      <c r="E486" s="5">
        <v>-29698</v>
      </c>
      <c r="F486" s="3" t="s">
        <v>148</v>
      </c>
      <c r="G486" s="3" t="s">
        <v>106</v>
      </c>
      <c r="H486" s="2" t="s">
        <v>36</v>
      </c>
      <c r="I486" s="2" t="s">
        <v>1320</v>
      </c>
      <c r="J486" s="3" t="str">
        <f>HYPERLINK("https://www.boe.es/gazeta/dias/1818/09/08/pdfs/GMD-1818-108.pdf#page=5","Abrir facsímil")</f>
        <v>Abrir facsímil</v>
      </c>
      <c r="K486" s="3" t="s">
        <v>38</v>
      </c>
    </row>
    <row r="487" spans="1:11" ht="42" customHeight="1">
      <c r="A487" s="2" t="s">
        <v>1321</v>
      </c>
      <c r="B487" s="2" t="s">
        <v>1321</v>
      </c>
      <c r="C487" s="2" t="s">
        <v>26</v>
      </c>
      <c r="D487" s="2" t="s">
        <v>27</v>
      </c>
      <c r="E487" s="5">
        <v>-29939</v>
      </c>
      <c r="F487" s="3" t="s">
        <v>110</v>
      </c>
      <c r="G487" s="3" t="s">
        <v>1322</v>
      </c>
      <c r="H487" s="2" t="s">
        <v>36</v>
      </c>
      <c r="I487" s="2" t="s">
        <v>1323</v>
      </c>
      <c r="J487" s="3" t="str">
        <f>HYPERLINK("https://www.boe.es/gazeta/dias/1818/01/10/pdfs/GMD-1818-5.pdf#page=4","Abrir facsímil")</f>
        <v>Abrir facsímil</v>
      </c>
      <c r="K487" s="3" t="s">
        <v>38</v>
      </c>
    </row>
    <row r="488" spans="1:11" ht="42" customHeight="1">
      <c r="A488" s="2" t="s">
        <v>1324</v>
      </c>
      <c r="B488" s="2" t="s">
        <v>1325</v>
      </c>
      <c r="C488" s="2" t="s">
        <v>57</v>
      </c>
      <c r="D488" s="2" t="s">
        <v>18</v>
      </c>
      <c r="E488" s="5">
        <v>-29773</v>
      </c>
      <c r="F488" s="3" t="s">
        <v>424</v>
      </c>
      <c r="G488" s="3" t="s">
        <v>45</v>
      </c>
      <c r="H488" s="2" t="s">
        <v>36</v>
      </c>
      <c r="I488" s="2" t="s">
        <v>1326</v>
      </c>
      <c r="J488" s="3" t="str">
        <f>HYPERLINK("https://www.boe.es/gazeta/dias/1818/06/25/pdfs/GMD-1818-76.pdf#page=8","Abrir facsímil")</f>
        <v>Abrir facsímil</v>
      </c>
      <c r="K488" s="3" t="s">
        <v>38</v>
      </c>
    </row>
    <row r="489" spans="1:11" ht="42" customHeight="1">
      <c r="A489" s="2" t="s">
        <v>1324</v>
      </c>
      <c r="B489" s="2" t="s">
        <v>1325</v>
      </c>
      <c r="C489" s="2" t="s">
        <v>57</v>
      </c>
      <c r="D489" s="2" t="s">
        <v>18</v>
      </c>
      <c r="E489" s="5">
        <v>-29605</v>
      </c>
      <c r="F489" s="3" t="s">
        <v>888</v>
      </c>
      <c r="G489" s="3" t="s">
        <v>1327</v>
      </c>
      <c r="H489" s="2" t="s">
        <v>36</v>
      </c>
      <c r="I489" s="2" t="s">
        <v>1328</v>
      </c>
      <c r="J489" s="3" t="str">
        <f>HYPERLINK("https://www.boe.es/gazeta/dias/1818/12/10/pdfs/GMD-1818-149.pdf#page=8","Abrir facsímil")</f>
        <v>Abrir facsímil</v>
      </c>
      <c r="K489" s="3" t="s">
        <v>38</v>
      </c>
    </row>
    <row r="490" spans="1:11" ht="42" customHeight="1">
      <c r="A490" s="2" t="s">
        <v>1329</v>
      </c>
      <c r="B490" s="2" t="s">
        <v>1330</v>
      </c>
      <c r="C490" s="2" t="s">
        <v>17</v>
      </c>
      <c r="D490" s="2" t="s">
        <v>18</v>
      </c>
      <c r="E490" s="5">
        <v>-29631</v>
      </c>
      <c r="F490" s="3" t="s">
        <v>743</v>
      </c>
      <c r="G490" s="3" t="s">
        <v>59</v>
      </c>
      <c r="H490" s="2" t="s">
        <v>36</v>
      </c>
      <c r="I490" s="2" t="s">
        <v>1331</v>
      </c>
      <c r="J490" s="3" t="str">
        <f>HYPERLINK("https://www.boe.es/gazeta/dias/1818/11/14/pdfs/GMD-1818-138.pdf#page=6","Abrir facsímil")</f>
        <v>Abrir facsímil</v>
      </c>
      <c r="K490" s="3" t="s">
        <v>38</v>
      </c>
    </row>
    <row r="491" spans="1:11" ht="42" customHeight="1">
      <c r="A491" s="2" t="s">
        <v>1332</v>
      </c>
      <c r="B491" s="2" t="s">
        <v>1333</v>
      </c>
      <c r="C491" s="2" t="s">
        <v>68</v>
      </c>
      <c r="D491" s="2" t="s">
        <v>69</v>
      </c>
      <c r="E491" s="5">
        <v>-29656</v>
      </c>
      <c r="F491" s="3" t="s">
        <v>601</v>
      </c>
      <c r="G491" s="3" t="s">
        <v>45</v>
      </c>
      <c r="H491" s="2" t="s">
        <v>36</v>
      </c>
      <c r="I491" s="2" t="s">
        <v>1334</v>
      </c>
      <c r="J491" s="3" t="str">
        <f>HYPERLINK("https://www.boe.es/gazeta/dias/1818/10/20/pdfs/GMD-1818-127.pdf#page=8","Abrir facsímil")</f>
        <v>Abrir facsímil</v>
      </c>
      <c r="K491" s="3" t="s">
        <v>38</v>
      </c>
    </row>
    <row r="492" spans="1:11" ht="42" customHeight="1">
      <c r="A492" s="2" t="s">
        <v>1335</v>
      </c>
      <c r="B492" s="2" t="s">
        <v>1336</v>
      </c>
      <c r="C492" s="2" t="s">
        <v>68</v>
      </c>
      <c r="D492" s="2" t="s">
        <v>69</v>
      </c>
      <c r="E492" s="5">
        <v>-29656</v>
      </c>
      <c r="F492" s="3" t="s">
        <v>601</v>
      </c>
      <c r="G492" s="3" t="s">
        <v>45</v>
      </c>
      <c r="H492" s="2" t="s">
        <v>36</v>
      </c>
      <c r="I492" s="2" t="s">
        <v>1337</v>
      </c>
      <c r="J492" s="3" t="str">
        <f>HYPERLINK("https://www.boe.es/gazeta/dias/1818/10/20/pdfs/GMD-1818-127.pdf#page=8","Abrir facsímil")</f>
        <v>Abrir facsímil</v>
      </c>
      <c r="K492" s="3" t="s">
        <v>38</v>
      </c>
    </row>
    <row r="493" spans="1:11" ht="42" customHeight="1">
      <c r="A493" s="2" t="s">
        <v>1338</v>
      </c>
      <c r="B493" s="2" t="s">
        <v>1339</v>
      </c>
      <c r="C493" s="2" t="s">
        <v>68</v>
      </c>
      <c r="D493" s="2" t="s">
        <v>69</v>
      </c>
      <c r="E493" s="5">
        <v>-29656</v>
      </c>
      <c r="F493" s="3" t="s">
        <v>601</v>
      </c>
      <c r="G493" s="3" t="s">
        <v>45</v>
      </c>
      <c r="H493" s="2" t="s">
        <v>36</v>
      </c>
      <c r="I493" s="2" t="s">
        <v>1340</v>
      </c>
      <c r="J493" s="3" t="str">
        <f>HYPERLINK("https://www.boe.es/gazeta/dias/1818/10/20/pdfs/GMD-1818-127.pdf#page=8","Abrir facsímil")</f>
        <v>Abrir facsímil</v>
      </c>
      <c r="K493" s="3" t="s">
        <v>38</v>
      </c>
    </row>
    <row r="494" spans="1:11" ht="42" customHeight="1">
      <c r="A494" s="2" t="s">
        <v>1341</v>
      </c>
      <c r="B494" s="2" t="s">
        <v>1342</v>
      </c>
      <c r="C494" s="2" t="s">
        <v>97</v>
      </c>
      <c r="D494" s="2" t="s">
        <v>18</v>
      </c>
      <c r="E494" s="5">
        <v>-29656</v>
      </c>
      <c r="F494" s="3" t="s">
        <v>601</v>
      </c>
      <c r="G494" s="3" t="s">
        <v>45</v>
      </c>
      <c r="H494" s="2" t="s">
        <v>21</v>
      </c>
      <c r="I494" s="2" t="s">
        <v>1343</v>
      </c>
      <c r="J494" s="3" t="str">
        <f>HYPERLINK("https://www.boe.es/gazeta/dias/1818/10/20/pdfs/GMD-1818-127.pdf#page=8","Abrir facsímil")</f>
        <v>Abrir facsímil</v>
      </c>
      <c r="K494" s="3" t="s">
        <v>23</v>
      </c>
    </row>
    <row r="495" spans="1:11" ht="42" customHeight="1">
      <c r="A495" s="2" t="s">
        <v>1344</v>
      </c>
      <c r="B495" s="2" t="s">
        <v>1345</v>
      </c>
      <c r="C495" s="2" t="s">
        <v>97</v>
      </c>
      <c r="D495" s="2" t="s">
        <v>18</v>
      </c>
      <c r="E495" s="5">
        <v>-29619</v>
      </c>
      <c r="F495" s="3" t="s">
        <v>64</v>
      </c>
      <c r="G495" s="3" t="s">
        <v>20</v>
      </c>
      <c r="H495" s="2" t="s">
        <v>36</v>
      </c>
      <c r="I495" s="2" t="s">
        <v>1346</v>
      </c>
      <c r="J495" s="3" t="str">
        <f>HYPERLINK("https://www.boe.es/gazeta/dias/1818/11/26/pdfs/GMD-1818-143.pdf#page=7","Abrir facsímil")</f>
        <v>Abrir facsímil</v>
      </c>
      <c r="K495" s="3" t="s">
        <v>38</v>
      </c>
    </row>
    <row r="496" spans="1:11" ht="42" customHeight="1">
      <c r="A496" s="2" t="s">
        <v>1347</v>
      </c>
      <c r="B496" s="2" t="s">
        <v>1348</v>
      </c>
      <c r="C496" s="2" t="s">
        <v>17</v>
      </c>
      <c r="D496" s="2" t="s">
        <v>18</v>
      </c>
      <c r="E496" s="5">
        <v>-29824</v>
      </c>
      <c r="F496" s="3" t="s">
        <v>101</v>
      </c>
      <c r="G496" s="3" t="s">
        <v>20</v>
      </c>
      <c r="H496" s="2" t="s">
        <v>36</v>
      </c>
      <c r="I496" s="2" t="s">
        <v>1349</v>
      </c>
      <c r="J496" s="3" t="str">
        <f>HYPERLINK("https://www.boe.es/gazeta/dias/1818/05/05/pdfs/GMD-1818-54.pdf#page=7","Abrir facsímil")</f>
        <v>Abrir facsímil</v>
      </c>
      <c r="K496" s="3" t="s">
        <v>38</v>
      </c>
    </row>
    <row r="497" spans="1:11" ht="42" customHeight="1">
      <c r="A497" s="2" t="s">
        <v>1347</v>
      </c>
      <c r="B497" s="2" t="s">
        <v>1348</v>
      </c>
      <c r="C497" s="2" t="s">
        <v>17</v>
      </c>
      <c r="D497" s="2" t="s">
        <v>18</v>
      </c>
      <c r="E497" s="5">
        <v>-29708</v>
      </c>
      <c r="F497" s="3" t="s">
        <v>413</v>
      </c>
      <c r="G497" s="3" t="s">
        <v>20</v>
      </c>
      <c r="H497" s="2" t="s">
        <v>36</v>
      </c>
      <c r="I497" s="2" t="s">
        <v>1350</v>
      </c>
      <c r="J497" s="3" t="str">
        <f>HYPERLINK("https://www.boe.es/gazeta/dias/1818/08/29/pdfs/GMD-1818-104.pdf#page=7","Abrir facsímil")</f>
        <v>Abrir facsímil</v>
      </c>
      <c r="K497" s="3" t="s">
        <v>38</v>
      </c>
    </row>
    <row r="498" spans="1:11" ht="42" customHeight="1">
      <c r="A498" s="2" t="s">
        <v>1351</v>
      </c>
      <c r="B498" s="2" t="s">
        <v>1352</v>
      </c>
      <c r="C498" s="2" t="s">
        <v>68</v>
      </c>
      <c r="D498" s="2" t="s">
        <v>69</v>
      </c>
      <c r="E498" s="5">
        <v>-29925</v>
      </c>
      <c r="F498" s="3" t="s">
        <v>447</v>
      </c>
      <c r="G498" s="3" t="s">
        <v>20</v>
      </c>
      <c r="H498" s="2" t="s">
        <v>36</v>
      </c>
      <c r="I498" s="2" t="s">
        <v>1353</v>
      </c>
      <c r="J498" s="3" t="str">
        <f>HYPERLINK("https://www.boe.es/gazeta/dias/1818/01/24/pdfs/GMD-1818-11.pdf#page=7","Abrir facsímil")</f>
        <v>Abrir facsímil</v>
      </c>
      <c r="K498" s="3" t="s">
        <v>38</v>
      </c>
    </row>
    <row r="499" spans="1:11" ht="42" customHeight="1">
      <c r="A499" s="2" t="s">
        <v>1354</v>
      </c>
      <c r="B499" s="2" t="s">
        <v>1355</v>
      </c>
      <c r="C499" s="2" t="s">
        <v>17</v>
      </c>
      <c r="D499" s="2" t="s">
        <v>18</v>
      </c>
      <c r="E499" s="5">
        <v>-29694</v>
      </c>
      <c r="F499" s="3" t="s">
        <v>528</v>
      </c>
      <c r="G499" s="3" t="s">
        <v>59</v>
      </c>
      <c r="H499" s="2" t="s">
        <v>36</v>
      </c>
      <c r="I499" s="2" t="s">
        <v>1356</v>
      </c>
      <c r="J499" s="3" t="str">
        <f>HYPERLINK("https://www.boe.es/gazeta/dias/1818/09/12/pdfs/GMD-1818-110.pdf#page=6","Abrir facsímil")</f>
        <v>Abrir facsímil</v>
      </c>
      <c r="K499" s="3" t="s">
        <v>38</v>
      </c>
    </row>
    <row r="500" spans="1:11" ht="42" customHeight="1">
      <c r="A500" s="2" t="s">
        <v>1357</v>
      </c>
      <c r="B500" s="2" t="s">
        <v>1358</v>
      </c>
      <c r="C500" s="2" t="s">
        <v>26</v>
      </c>
      <c r="D500" s="2" t="s">
        <v>27</v>
      </c>
      <c r="E500" s="5">
        <v>-29796</v>
      </c>
      <c r="F500" s="3" t="s">
        <v>1359</v>
      </c>
      <c r="G500" s="3" t="s">
        <v>1360</v>
      </c>
      <c r="H500" s="2" t="s">
        <v>36</v>
      </c>
      <c r="I500" s="2" t="s">
        <v>1361</v>
      </c>
      <c r="J500" s="3" t="str">
        <f>HYPERLINK("https://www.boe.es/gazeta/dias/1818/06/02/pdfs/GMD-1818-66.pdf#page=6","Abrir facsímil")</f>
        <v>Abrir facsímil</v>
      </c>
      <c r="K500" s="3" t="s">
        <v>38</v>
      </c>
    </row>
    <row r="501" spans="1:11" ht="42" customHeight="1">
      <c r="A501" s="2" t="s">
        <v>1357</v>
      </c>
      <c r="B501" s="2" t="s">
        <v>1358</v>
      </c>
      <c r="C501" s="2" t="s">
        <v>26</v>
      </c>
      <c r="D501" s="2" t="s">
        <v>27</v>
      </c>
      <c r="E501" s="5">
        <v>-29635</v>
      </c>
      <c r="F501" s="3" t="s">
        <v>560</v>
      </c>
      <c r="G501" s="3" t="s">
        <v>45</v>
      </c>
      <c r="H501" s="2" t="s">
        <v>36</v>
      </c>
      <c r="I501" s="2" t="s">
        <v>1362</v>
      </c>
      <c r="J501" s="3" t="str">
        <f>HYPERLINK("https://www.boe.es/gazeta/dias/1818/11/10/pdfs/GMD-1818-136.pdf#page=8","Abrir facsímil")</f>
        <v>Abrir facsímil</v>
      </c>
      <c r="K501" s="3" t="s">
        <v>38</v>
      </c>
    </row>
    <row r="502" spans="1:11" ht="42" customHeight="1">
      <c r="A502" s="2" t="s">
        <v>1363</v>
      </c>
      <c r="B502" s="2" t="s">
        <v>1364</v>
      </c>
      <c r="C502" s="2" t="s">
        <v>26</v>
      </c>
      <c r="D502" s="2" t="s">
        <v>27</v>
      </c>
      <c r="E502" s="5">
        <v>-29750</v>
      </c>
      <c r="F502" s="3" t="s">
        <v>384</v>
      </c>
      <c r="G502" s="3" t="s">
        <v>111</v>
      </c>
      <c r="H502" s="2" t="s">
        <v>36</v>
      </c>
      <c r="I502" s="2" t="s">
        <v>1365</v>
      </c>
      <c r="J502" s="3" t="str">
        <f>HYPERLINK("https://www.boe.es/gazeta/dias/1818/07/18/pdfs/GMD-1818-86.pdf#page=11","Abrir facsímil")</f>
        <v>Abrir facsímil</v>
      </c>
      <c r="K502" s="3" t="s">
        <v>38</v>
      </c>
    </row>
    <row r="503" spans="1:11" ht="42" customHeight="1">
      <c r="A503" s="2" t="s">
        <v>1366</v>
      </c>
      <c r="B503" s="2" t="s">
        <v>1367</v>
      </c>
      <c r="C503" s="2" t="s">
        <v>68</v>
      </c>
      <c r="D503" s="2" t="s">
        <v>69</v>
      </c>
      <c r="E503" s="5">
        <v>-29787</v>
      </c>
      <c r="F503" s="3" t="s">
        <v>343</v>
      </c>
      <c r="G503" s="3" t="s">
        <v>20</v>
      </c>
      <c r="H503" s="2" t="s">
        <v>36</v>
      </c>
      <c r="I503" s="2" t="s">
        <v>1368</v>
      </c>
      <c r="J503" s="3" t="str">
        <f>HYPERLINK("https://www.boe.es/gazeta/dias/1818/06/11/pdfs/GMD-1818-70.pdf#page=7","Abrir facsímil")</f>
        <v>Abrir facsímil</v>
      </c>
      <c r="K503" s="3" t="s">
        <v>38</v>
      </c>
    </row>
    <row r="504" spans="1:11" ht="42" customHeight="1">
      <c r="A504" s="2" t="s">
        <v>1369</v>
      </c>
      <c r="B504" s="2" t="s">
        <v>1370</v>
      </c>
      <c r="C504" s="2" t="s">
        <v>68</v>
      </c>
      <c r="D504" s="2" t="s">
        <v>69</v>
      </c>
      <c r="E504" s="5">
        <v>-29624</v>
      </c>
      <c r="F504" s="3" t="s">
        <v>131</v>
      </c>
      <c r="G504" s="3" t="s">
        <v>20</v>
      </c>
      <c r="H504" s="2" t="s">
        <v>36</v>
      </c>
      <c r="I504" s="2" t="s">
        <v>1371</v>
      </c>
      <c r="J504" s="3" t="str">
        <f>HYPERLINK("https://www.boe.es/gazeta/dias/1818/11/21/pdfs/GMD-1818-141.pdf#page=7","Abrir facsímil")</f>
        <v>Abrir facsímil</v>
      </c>
      <c r="K504" s="3" t="s">
        <v>38</v>
      </c>
    </row>
    <row r="505" spans="1:11" ht="42" customHeight="1">
      <c r="A505" s="2" t="s">
        <v>1372</v>
      </c>
      <c r="B505" s="2" t="s">
        <v>1372</v>
      </c>
      <c r="C505" s="2" t="s">
        <v>17</v>
      </c>
      <c r="D505" s="2" t="s">
        <v>18</v>
      </c>
      <c r="E505" s="5">
        <v>-29680</v>
      </c>
      <c r="F505" s="3" t="s">
        <v>865</v>
      </c>
      <c r="G505" s="3" t="s">
        <v>45</v>
      </c>
      <c r="H505" s="2" t="s">
        <v>36</v>
      </c>
      <c r="I505" s="2" t="s">
        <v>1373</v>
      </c>
      <c r="J505" s="3" t="str">
        <f>HYPERLINK("https://www.boe.es/gazeta/dias/1818/09/26/pdfs/GMD-1818-116.pdf#page=8","Abrir facsímil")</f>
        <v>Abrir facsímil</v>
      </c>
      <c r="K505" s="3" t="s">
        <v>38</v>
      </c>
    </row>
    <row r="506" spans="1:11" ht="42" customHeight="1">
      <c r="A506" s="2" t="s">
        <v>1374</v>
      </c>
      <c r="B506" s="2" t="s">
        <v>1374</v>
      </c>
      <c r="C506" s="2" t="s">
        <v>17</v>
      </c>
      <c r="D506" s="2" t="s">
        <v>18</v>
      </c>
      <c r="E506" s="5">
        <v>-29785</v>
      </c>
      <c r="F506" s="3" t="s">
        <v>1031</v>
      </c>
      <c r="G506" s="3" t="s">
        <v>59</v>
      </c>
      <c r="H506" s="2" t="s">
        <v>36</v>
      </c>
      <c r="I506" s="2" t="s">
        <v>1375</v>
      </c>
      <c r="J506" s="3" t="str">
        <f>HYPERLINK("https://www.boe.es/gazeta/dias/1818/06/13/pdfs/GMD-1818-71.pdf#page=6","Abrir facsímil")</f>
        <v>Abrir facsímil</v>
      </c>
      <c r="K506" s="3" t="s">
        <v>38</v>
      </c>
    </row>
    <row r="507" spans="1:11" ht="42" customHeight="1">
      <c r="A507" s="2" t="s">
        <v>1376</v>
      </c>
      <c r="B507" s="2" t="s">
        <v>1377</v>
      </c>
      <c r="C507" s="2" t="s">
        <v>68</v>
      </c>
      <c r="D507" s="2" t="s">
        <v>69</v>
      </c>
      <c r="E507" s="5">
        <v>-29663</v>
      </c>
      <c r="F507" s="3" t="s">
        <v>1011</v>
      </c>
      <c r="G507" s="3" t="s">
        <v>106</v>
      </c>
      <c r="H507" s="2" t="s">
        <v>36</v>
      </c>
      <c r="I507" s="2" t="s">
        <v>1378</v>
      </c>
      <c r="J507" s="3" t="str">
        <f>HYPERLINK("https://www.boe.es/gazeta/dias/1818/10/13/pdfs/GMD-1818-123.pdf#page=5","Abrir facsímil")</f>
        <v>Abrir facsímil</v>
      </c>
      <c r="K507" s="3" t="s">
        <v>38</v>
      </c>
    </row>
    <row r="508" spans="1:11" ht="42" customHeight="1">
      <c r="A508" s="2" t="s">
        <v>1379</v>
      </c>
      <c r="B508" s="2" t="s">
        <v>1380</v>
      </c>
      <c r="C508" s="2" t="s">
        <v>68</v>
      </c>
      <c r="D508" s="2" t="s">
        <v>69</v>
      </c>
      <c r="E508" s="5">
        <v>-29927</v>
      </c>
      <c r="F508" s="3" t="s">
        <v>1381</v>
      </c>
      <c r="G508" s="3" t="s">
        <v>1382</v>
      </c>
      <c r="H508" s="2" t="s">
        <v>36</v>
      </c>
      <c r="I508" s="2" t="s">
        <v>1383</v>
      </c>
      <c r="J508" s="3" t="str">
        <f>HYPERLINK("https://www.boe.es/gazeta/dias/1818/01/22/pdfs/GMD-1818-10.pdf#page=5","Abrir facsímil")</f>
        <v>Abrir facsímil</v>
      </c>
      <c r="K508" s="3" t="s">
        <v>38</v>
      </c>
    </row>
    <row r="509" spans="1:11" ht="42" customHeight="1">
      <c r="A509" s="2" t="s">
        <v>1384</v>
      </c>
      <c r="B509" s="2" t="s">
        <v>1385</v>
      </c>
      <c r="C509" s="2" t="s">
        <v>26</v>
      </c>
      <c r="D509" s="2" t="s">
        <v>27</v>
      </c>
      <c r="E509" s="5">
        <v>-29813</v>
      </c>
      <c r="F509" s="3" t="s">
        <v>839</v>
      </c>
      <c r="G509" s="3" t="s">
        <v>59</v>
      </c>
      <c r="H509" s="2" t="s">
        <v>36</v>
      </c>
      <c r="I509" s="2" t="s">
        <v>1386</v>
      </c>
      <c r="J509" s="3" t="str">
        <f>HYPERLINK("https://www.boe.es/gazeta/dias/1818/05/16/pdfs/GMD-1818-59.pdf#page=6","Abrir facsímil")</f>
        <v>Abrir facsímil</v>
      </c>
      <c r="K509" s="3" t="s">
        <v>38</v>
      </c>
    </row>
    <row r="510" spans="1:11" ht="42" customHeight="1">
      <c r="A510" s="2" t="s">
        <v>1387</v>
      </c>
      <c r="B510" s="2" t="s">
        <v>1388</v>
      </c>
      <c r="C510" s="2" t="s">
        <v>215</v>
      </c>
      <c r="D510" s="2" t="s">
        <v>18</v>
      </c>
      <c r="E510" s="5">
        <v>-29880</v>
      </c>
      <c r="F510" s="3" t="s">
        <v>359</v>
      </c>
      <c r="G510" s="3" t="s">
        <v>1221</v>
      </c>
      <c r="H510" s="2" t="s">
        <v>36</v>
      </c>
      <c r="I510" s="2" t="s">
        <v>1389</v>
      </c>
      <c r="J510" s="3" t="str">
        <f>HYPERLINK("https://www.boe.es/gazeta/dias/1818/03/10/pdfs/GMD-1818-30.pdf#page=8","Abrir facsímil")</f>
        <v>Abrir facsímil</v>
      </c>
      <c r="K510" s="3" t="s">
        <v>38</v>
      </c>
    </row>
    <row r="511" spans="1:11" ht="42" customHeight="1">
      <c r="A511" s="2" t="s">
        <v>1387</v>
      </c>
      <c r="B511" s="2" t="s">
        <v>1388</v>
      </c>
      <c r="C511" s="2" t="s">
        <v>215</v>
      </c>
      <c r="D511" s="2" t="s">
        <v>18</v>
      </c>
      <c r="E511" s="5">
        <v>-29677</v>
      </c>
      <c r="F511" s="3" t="s">
        <v>157</v>
      </c>
      <c r="G511" s="3" t="s">
        <v>158</v>
      </c>
      <c r="H511" s="2" t="s">
        <v>36</v>
      </c>
      <c r="I511" s="2" t="s">
        <v>1390</v>
      </c>
      <c r="J511" s="3" t="str">
        <f>HYPERLINK("https://www.boe.es/gazeta/dias/1818/09/29/pdfs/GMD-1818-117.pdf#page=8","Abrir facsímil")</f>
        <v>Abrir facsímil</v>
      </c>
      <c r="K511" s="3" t="s">
        <v>38</v>
      </c>
    </row>
    <row r="512" spans="1:11" ht="42" customHeight="1">
      <c r="A512" s="2" t="s">
        <v>1391</v>
      </c>
      <c r="B512" s="2" t="s">
        <v>1392</v>
      </c>
      <c r="C512" s="2" t="s">
        <v>215</v>
      </c>
      <c r="D512" s="2" t="s">
        <v>18</v>
      </c>
      <c r="E512" s="5">
        <v>-29803</v>
      </c>
      <c r="F512" s="3" t="s">
        <v>1393</v>
      </c>
      <c r="G512" s="3" t="s">
        <v>45</v>
      </c>
      <c r="H512" s="2" t="s">
        <v>36</v>
      </c>
      <c r="I512" s="2" t="s">
        <v>1394</v>
      </c>
      <c r="J512" s="3" t="str">
        <f>HYPERLINK("https://www.boe.es/gazeta/dias/1818/05/26/pdfs/GMD-1818-63.pdf#page=8","Abrir facsímil")</f>
        <v>Abrir facsímil</v>
      </c>
      <c r="K512" s="3" t="s">
        <v>38</v>
      </c>
    </row>
    <row r="513" spans="1:11" ht="42" customHeight="1">
      <c r="A513" s="2" t="s">
        <v>1395</v>
      </c>
      <c r="B513" s="2" t="s">
        <v>1396</v>
      </c>
      <c r="C513" s="2" t="s">
        <v>26</v>
      </c>
      <c r="D513" s="2" t="s">
        <v>27</v>
      </c>
      <c r="E513" s="5">
        <v>-29880</v>
      </c>
      <c r="F513" s="3" t="s">
        <v>359</v>
      </c>
      <c r="G513" s="3" t="s">
        <v>106</v>
      </c>
      <c r="H513" s="2" t="s">
        <v>36</v>
      </c>
      <c r="I513" s="2" t="s">
        <v>1397</v>
      </c>
      <c r="J513" s="3" t="str">
        <f>HYPERLINK("https://www.boe.es/gazeta/dias/1818/03/10/pdfs/GMD-1818-30.pdf#page=5","Abrir facsímil")</f>
        <v>Abrir facsímil</v>
      </c>
      <c r="K513" s="3" t="s">
        <v>38</v>
      </c>
    </row>
    <row r="514" spans="1:11" ht="42" customHeight="1">
      <c r="A514" s="2" t="s">
        <v>1398</v>
      </c>
      <c r="B514" s="2" t="s">
        <v>1398</v>
      </c>
      <c r="C514" s="2" t="s">
        <v>57</v>
      </c>
      <c r="D514" s="2" t="s">
        <v>18</v>
      </c>
      <c r="E514" s="5">
        <v>-29614</v>
      </c>
      <c r="F514" s="3" t="s">
        <v>620</v>
      </c>
      <c r="G514" s="3" t="s">
        <v>59</v>
      </c>
      <c r="H514" s="2" t="s">
        <v>36</v>
      </c>
      <c r="I514" s="2" t="s">
        <v>1399</v>
      </c>
      <c r="J514" s="3" t="str">
        <f>HYPERLINK("https://www.boe.es/gazeta/dias/1818/12/01/pdfs/GMD-1818-145.pdf#page=6","Abrir facsímil")</f>
        <v>Abrir facsímil</v>
      </c>
      <c r="K514" s="3" t="s">
        <v>38</v>
      </c>
    </row>
    <row r="515" spans="1:11" ht="42" customHeight="1">
      <c r="A515" s="2" t="s">
        <v>1400</v>
      </c>
      <c r="B515" s="2" t="s">
        <v>1401</v>
      </c>
      <c r="C515" s="2" t="s">
        <v>26</v>
      </c>
      <c r="D515" s="2" t="s">
        <v>27</v>
      </c>
      <c r="E515" s="5">
        <v>-29614</v>
      </c>
      <c r="F515" s="3" t="s">
        <v>620</v>
      </c>
      <c r="G515" s="3" t="s">
        <v>59</v>
      </c>
      <c r="H515" s="2" t="s">
        <v>36</v>
      </c>
      <c r="I515" s="2" t="s">
        <v>1402</v>
      </c>
      <c r="J515" s="3" t="str">
        <f>HYPERLINK("https://www.boe.es/gazeta/dias/1818/12/01/pdfs/GMD-1818-145.pdf#page=6","Abrir facsímil")</f>
        <v>Abrir facsímil</v>
      </c>
      <c r="K515" s="3" t="s">
        <v>38</v>
      </c>
    </row>
    <row r="516" spans="1:11" ht="42" customHeight="1">
      <c r="A516" s="2" t="s">
        <v>1403</v>
      </c>
      <c r="B516" s="2" t="s">
        <v>1404</v>
      </c>
      <c r="C516" s="2" t="s">
        <v>17</v>
      </c>
      <c r="D516" s="2" t="s">
        <v>18</v>
      </c>
      <c r="E516" s="5">
        <v>-29698</v>
      </c>
      <c r="F516" s="3" t="s">
        <v>148</v>
      </c>
      <c r="G516" s="3" t="s">
        <v>106</v>
      </c>
      <c r="H516" s="2" t="s">
        <v>36</v>
      </c>
      <c r="I516" s="2" t="s">
        <v>1405</v>
      </c>
      <c r="J516" s="3" t="str">
        <f>HYPERLINK("https://www.boe.es/gazeta/dias/1818/09/08/pdfs/GMD-1818-108.pdf#page=5","Abrir facsímil")</f>
        <v>Abrir facsímil</v>
      </c>
      <c r="K516" s="3" t="s">
        <v>38</v>
      </c>
    </row>
    <row r="517" spans="1:11" ht="42" customHeight="1">
      <c r="A517" s="2" t="s">
        <v>1406</v>
      </c>
      <c r="B517" s="2" t="s">
        <v>1407</v>
      </c>
      <c r="C517" s="2" t="s">
        <v>17</v>
      </c>
      <c r="D517" s="2" t="s">
        <v>18</v>
      </c>
      <c r="E517" s="5">
        <v>-29708</v>
      </c>
      <c r="F517" s="3" t="s">
        <v>413</v>
      </c>
      <c r="G517" s="3" t="s">
        <v>106</v>
      </c>
      <c r="H517" s="2" t="s">
        <v>36</v>
      </c>
      <c r="I517" s="2" t="s">
        <v>1408</v>
      </c>
      <c r="J517" s="3" t="str">
        <f>HYPERLINK("https://www.boe.es/gazeta/dias/1818/08/29/pdfs/GMD-1818-104.pdf#page=5","Abrir facsímil")</f>
        <v>Abrir facsímil</v>
      </c>
      <c r="K517" s="3" t="s">
        <v>38</v>
      </c>
    </row>
    <row r="518" spans="1:11" ht="42" customHeight="1">
      <c r="A518" s="2" t="s">
        <v>1409</v>
      </c>
      <c r="B518" s="2" t="s">
        <v>1410</v>
      </c>
      <c r="C518" s="2" t="s">
        <v>68</v>
      </c>
      <c r="D518" s="2" t="s">
        <v>69</v>
      </c>
      <c r="E518" s="5">
        <v>-29827</v>
      </c>
      <c r="F518" s="3" t="s">
        <v>280</v>
      </c>
      <c r="G518" s="3" t="s">
        <v>20</v>
      </c>
      <c r="H518" s="2" t="s">
        <v>36</v>
      </c>
      <c r="I518" s="2" t="s">
        <v>1411</v>
      </c>
      <c r="J518" s="3" t="str">
        <f>HYPERLINK("https://www.boe.es/gazeta/dias/1818/05/02/pdfs/GMD-1818-53.pdf#page=7","Abrir facsímil")</f>
        <v>Abrir facsímil</v>
      </c>
      <c r="K518" s="3" t="s">
        <v>38</v>
      </c>
    </row>
    <row r="519" spans="1:11" ht="42" customHeight="1">
      <c r="A519" s="2" t="s">
        <v>1412</v>
      </c>
      <c r="B519" s="2" t="s">
        <v>1413</v>
      </c>
      <c r="C519" s="2" t="s">
        <v>26</v>
      </c>
      <c r="D519" s="2" t="s">
        <v>27</v>
      </c>
      <c r="E519" s="5">
        <v>-29591</v>
      </c>
      <c r="F519" s="3" t="s">
        <v>1414</v>
      </c>
      <c r="G519" s="3" t="s">
        <v>20</v>
      </c>
      <c r="H519" s="2" t="s">
        <v>36</v>
      </c>
      <c r="I519" s="2" t="s">
        <v>1415</v>
      </c>
      <c r="J519" s="3" t="str">
        <f>HYPERLINK("https://www.boe.es/gazeta/dias/1818/12/24/pdfs/GMD-1818-155.pdf#page=7","Abrir facsímil")</f>
        <v>Abrir facsímil</v>
      </c>
      <c r="K519" s="3" t="s">
        <v>38</v>
      </c>
    </row>
    <row r="520" spans="1:11" ht="42" customHeight="1">
      <c r="A520" s="2" t="s">
        <v>1416</v>
      </c>
      <c r="B520" s="2" t="s">
        <v>1417</v>
      </c>
      <c r="C520" s="2" t="s">
        <v>26</v>
      </c>
      <c r="D520" s="2" t="s">
        <v>27</v>
      </c>
      <c r="E520" s="5">
        <v>-29656</v>
      </c>
      <c r="F520" s="3" t="s">
        <v>601</v>
      </c>
      <c r="G520" s="3" t="s">
        <v>29</v>
      </c>
      <c r="H520" s="2" t="s">
        <v>36</v>
      </c>
      <c r="I520" s="2" t="s">
        <v>1418</v>
      </c>
      <c r="J520" s="3" t="str">
        <f>HYPERLINK("https://www.boe.es/gazeta/dias/1818/10/20/pdfs/GMD-1818-127.pdf#page=4","Abrir facsímil")</f>
        <v>Abrir facsímil</v>
      </c>
      <c r="K520" s="3" t="s">
        <v>38</v>
      </c>
    </row>
    <row r="521" spans="1:11" ht="42" customHeight="1">
      <c r="A521" s="2" t="s">
        <v>1416</v>
      </c>
      <c r="B521" s="2" t="s">
        <v>1417</v>
      </c>
      <c r="C521" s="2" t="s">
        <v>26</v>
      </c>
      <c r="D521" s="2" t="s">
        <v>27</v>
      </c>
      <c r="E521" s="5">
        <v>-29626</v>
      </c>
      <c r="F521" s="3" t="s">
        <v>496</v>
      </c>
      <c r="G521" s="3" t="s">
        <v>882</v>
      </c>
      <c r="H521" s="2" t="s">
        <v>36</v>
      </c>
      <c r="I521" s="2" t="s">
        <v>1419</v>
      </c>
      <c r="J521" s="3" t="str">
        <f>HYPERLINK("https://www.boe.es/gazeta/dias/1818/11/19/pdfs/GMD-1818-140.pdf#page=4","Abrir facsímil")</f>
        <v>Abrir facsímil</v>
      </c>
      <c r="K521" s="3" t="s">
        <v>38</v>
      </c>
    </row>
    <row r="522" spans="1:11" ht="42" customHeight="1">
      <c r="A522" s="2" t="s">
        <v>1416</v>
      </c>
      <c r="B522" s="2" t="s">
        <v>1417</v>
      </c>
      <c r="C522" s="2" t="s">
        <v>26</v>
      </c>
      <c r="D522" s="2" t="s">
        <v>27</v>
      </c>
      <c r="E522" s="5">
        <v>-29626</v>
      </c>
      <c r="F522" s="3" t="s">
        <v>496</v>
      </c>
      <c r="G522" s="3" t="s">
        <v>551</v>
      </c>
      <c r="H522" s="2" t="s">
        <v>36</v>
      </c>
      <c r="I522" s="2" t="s">
        <v>1420</v>
      </c>
      <c r="J522" s="3" t="str">
        <f>HYPERLINK("https://www.boe.es/gazeta/dias/1818/11/19/pdfs/GMD-1818-140.pdf#page=5","Abrir facsímil")</f>
        <v>Abrir facsímil</v>
      </c>
      <c r="K522" s="3" t="s">
        <v>38</v>
      </c>
    </row>
    <row r="523" spans="1:11" ht="42" customHeight="1">
      <c r="A523" s="2" t="s">
        <v>1416</v>
      </c>
      <c r="B523" s="2" t="s">
        <v>1417</v>
      </c>
      <c r="C523" s="2" t="s">
        <v>26</v>
      </c>
      <c r="D523" s="2" t="s">
        <v>27</v>
      </c>
      <c r="E523" s="5">
        <v>-29593</v>
      </c>
      <c r="F523" s="3" t="s">
        <v>185</v>
      </c>
      <c r="G523" s="3" t="s">
        <v>29</v>
      </c>
      <c r="H523" s="2" t="s">
        <v>36</v>
      </c>
      <c r="I523" s="2" t="s">
        <v>1421</v>
      </c>
      <c r="J523" s="3" t="str">
        <f>HYPERLINK("https://www.boe.es/gazeta/dias/1818/12/22/pdfs/GMD-1818-154.pdf#page=4","Abrir facsímil")</f>
        <v>Abrir facsímil</v>
      </c>
      <c r="K523" s="3" t="s">
        <v>38</v>
      </c>
    </row>
    <row r="524" spans="1:11" ht="42" customHeight="1">
      <c r="A524" s="2" t="s">
        <v>1416</v>
      </c>
      <c r="B524" s="2" t="s">
        <v>1417</v>
      </c>
      <c r="C524" s="2" t="s">
        <v>26</v>
      </c>
      <c r="D524" s="2" t="s">
        <v>27</v>
      </c>
      <c r="E524" s="5">
        <v>-29593</v>
      </c>
      <c r="F524" s="3" t="s">
        <v>185</v>
      </c>
      <c r="G524" s="3" t="s">
        <v>59</v>
      </c>
      <c r="H524" s="2" t="s">
        <v>36</v>
      </c>
      <c r="I524" s="2" t="s">
        <v>1422</v>
      </c>
      <c r="J524" s="3" t="str">
        <f>HYPERLINK("https://www.boe.es/gazeta/dias/1818/12/22/pdfs/GMD-1818-154.pdf#page=6","Abrir facsímil")</f>
        <v>Abrir facsímil</v>
      </c>
      <c r="K524" s="3" t="s">
        <v>38</v>
      </c>
    </row>
    <row r="525" spans="1:11" ht="42" customHeight="1">
      <c r="A525" s="2" t="s">
        <v>1423</v>
      </c>
      <c r="B525" s="2" t="s">
        <v>1424</v>
      </c>
      <c r="C525" s="2" t="s">
        <v>26</v>
      </c>
      <c r="D525" s="2" t="s">
        <v>27</v>
      </c>
      <c r="E525" s="5">
        <v>-29782</v>
      </c>
      <c r="F525" s="3" t="s">
        <v>226</v>
      </c>
      <c r="G525" s="3" t="s">
        <v>20</v>
      </c>
      <c r="H525" s="2" t="s">
        <v>36</v>
      </c>
      <c r="I525" s="2" t="s">
        <v>1425</v>
      </c>
      <c r="J525" s="3" t="str">
        <f>HYPERLINK("https://www.boe.es/gazeta/dias/1818/06/16/pdfs/GMD-1818-72.pdf#page=7","Abrir facsímil")</f>
        <v>Abrir facsímil</v>
      </c>
      <c r="K525" s="3" t="s">
        <v>38</v>
      </c>
    </row>
    <row r="526" spans="1:11" ht="42" customHeight="1">
      <c r="A526" s="2" t="s">
        <v>1426</v>
      </c>
      <c r="B526" s="2" t="s">
        <v>1427</v>
      </c>
      <c r="C526" s="2" t="s">
        <v>26</v>
      </c>
      <c r="D526" s="2" t="s">
        <v>27</v>
      </c>
      <c r="E526" s="5">
        <v>-29920</v>
      </c>
      <c r="F526" s="3" t="s">
        <v>201</v>
      </c>
      <c r="G526" s="3" t="s">
        <v>111</v>
      </c>
      <c r="H526" s="2" t="s">
        <v>36</v>
      </c>
      <c r="I526" s="2" t="s">
        <v>1428</v>
      </c>
      <c r="J526" s="3" t="str">
        <f>HYPERLINK("https://www.boe.es/gazeta/dias/1818/01/29/pdfs/GMD-1818-13.pdf#page=11","Abrir facsímil")</f>
        <v>Abrir facsímil</v>
      </c>
      <c r="K526" s="3" t="s">
        <v>38</v>
      </c>
    </row>
    <row r="527" spans="1:11" ht="42" customHeight="1">
      <c r="A527" s="2" t="s">
        <v>1429</v>
      </c>
      <c r="B527" s="2" t="s">
        <v>1430</v>
      </c>
      <c r="C527" s="2" t="s">
        <v>26</v>
      </c>
      <c r="D527" s="2" t="s">
        <v>27</v>
      </c>
      <c r="E527" s="5">
        <v>-29701</v>
      </c>
      <c r="F527" s="3" t="s">
        <v>596</v>
      </c>
      <c r="G527" s="3" t="s">
        <v>59</v>
      </c>
      <c r="H527" s="2" t="s">
        <v>36</v>
      </c>
      <c r="I527" s="2" t="s">
        <v>1431</v>
      </c>
      <c r="J527" s="3" t="str">
        <f>HYPERLINK("https://www.boe.es/gazeta/dias/1818/09/05/pdfs/GMD-1818-107.pdf#page=6","Abrir facsímil")</f>
        <v>Abrir facsímil</v>
      </c>
      <c r="K527" s="3" t="s">
        <v>38</v>
      </c>
    </row>
    <row r="528" spans="1:11" ht="42" customHeight="1">
      <c r="A528" s="2" t="s">
        <v>1429</v>
      </c>
      <c r="B528" s="2" t="s">
        <v>1430</v>
      </c>
      <c r="C528" s="2" t="s">
        <v>57</v>
      </c>
      <c r="D528" s="2" t="s">
        <v>18</v>
      </c>
      <c r="E528" s="5">
        <v>-29619</v>
      </c>
      <c r="F528" s="3" t="s">
        <v>64</v>
      </c>
      <c r="G528" s="3" t="s">
        <v>20</v>
      </c>
      <c r="H528" s="2" t="s">
        <v>36</v>
      </c>
      <c r="I528" s="2" t="s">
        <v>1432</v>
      </c>
      <c r="J528" s="3" t="str">
        <f>HYPERLINK("https://www.boe.es/gazeta/dias/1818/11/26/pdfs/GMD-1818-143.pdf#page=7","Abrir facsímil")</f>
        <v>Abrir facsímil</v>
      </c>
      <c r="K528" s="3" t="s">
        <v>38</v>
      </c>
    </row>
    <row r="529" spans="1:11" ht="42" customHeight="1">
      <c r="A529" s="2" t="s">
        <v>1433</v>
      </c>
      <c r="B529" s="2" t="s">
        <v>1434</v>
      </c>
      <c r="C529" s="2" t="s">
        <v>63</v>
      </c>
      <c r="D529" s="2" t="s">
        <v>18</v>
      </c>
      <c r="E529" s="5">
        <v>-29883</v>
      </c>
      <c r="F529" s="3" t="s">
        <v>823</v>
      </c>
      <c r="G529" s="3" t="s">
        <v>45</v>
      </c>
      <c r="H529" s="2" t="s">
        <v>36</v>
      </c>
      <c r="I529" s="2" t="s">
        <v>1435</v>
      </c>
      <c r="J529" s="3" t="str">
        <f>HYPERLINK("https://www.boe.es/gazeta/dias/1818/03/07/pdfs/GMD-1818-29.pdf#page=8","Abrir facsímil")</f>
        <v>Abrir facsímil</v>
      </c>
      <c r="K529" s="3" t="s">
        <v>38</v>
      </c>
    </row>
    <row r="530" spans="1:11" ht="42" customHeight="1">
      <c r="A530" s="2" t="s">
        <v>1436</v>
      </c>
      <c r="B530" s="2" t="s">
        <v>1437</v>
      </c>
      <c r="C530" s="2" t="s">
        <v>26</v>
      </c>
      <c r="D530" s="2" t="s">
        <v>27</v>
      </c>
      <c r="E530" s="5">
        <v>-29719</v>
      </c>
      <c r="F530" s="3" t="s">
        <v>243</v>
      </c>
      <c r="G530" s="3" t="s">
        <v>59</v>
      </c>
      <c r="H530" s="2" t="s">
        <v>36</v>
      </c>
      <c r="I530" s="2" t="s">
        <v>1438</v>
      </c>
      <c r="J530" s="3" t="str">
        <f>HYPERLINK("https://www.boe.es/gazeta/dias/1818/08/18/pdfs/GMD-1818-99.pdf#page=6","Abrir facsímil")</f>
        <v>Abrir facsímil</v>
      </c>
      <c r="K530" s="3" t="s">
        <v>38</v>
      </c>
    </row>
    <row r="531" spans="1:11" ht="42" customHeight="1">
      <c r="A531" s="2" t="s">
        <v>1439</v>
      </c>
      <c r="B531" s="2" t="s">
        <v>1440</v>
      </c>
      <c r="C531" s="2" t="s">
        <v>26</v>
      </c>
      <c r="D531" s="2" t="s">
        <v>27</v>
      </c>
      <c r="E531" s="5">
        <v>-29610</v>
      </c>
      <c r="F531" s="3" t="s">
        <v>1441</v>
      </c>
      <c r="G531" s="3" t="s">
        <v>45</v>
      </c>
      <c r="H531" s="2" t="s">
        <v>21</v>
      </c>
      <c r="I531" s="2" t="s">
        <v>1442</v>
      </c>
      <c r="J531" s="3" t="str">
        <f>HYPERLINK("https://www.boe.es/gazeta/dias/1818/12/05/pdfs/GMD-1818-147.pdf#page=8","Abrir facsímil")</f>
        <v>Abrir facsímil</v>
      </c>
      <c r="K531" s="3" t="s">
        <v>23</v>
      </c>
    </row>
    <row r="532" spans="1:11" ht="42" customHeight="1">
      <c r="A532" s="2" t="s">
        <v>1443</v>
      </c>
      <c r="B532" s="2" t="s">
        <v>1444</v>
      </c>
      <c r="C532" s="2" t="s">
        <v>26</v>
      </c>
      <c r="D532" s="2" t="s">
        <v>27</v>
      </c>
      <c r="E532" s="5">
        <v>-29876</v>
      </c>
      <c r="F532" s="3" t="s">
        <v>338</v>
      </c>
      <c r="G532" s="3" t="s">
        <v>29</v>
      </c>
      <c r="H532" s="2" t="s">
        <v>36</v>
      </c>
      <c r="I532" s="2" t="s">
        <v>1445</v>
      </c>
      <c r="J532" s="3" t="str">
        <f>HYPERLINK("https://www.boe.es/gazeta/dias/1818/03/14/pdfs/GMD-1818-32.pdf#page=4","Abrir facsímil")</f>
        <v>Abrir facsímil</v>
      </c>
      <c r="K532" s="3" t="s">
        <v>38</v>
      </c>
    </row>
    <row r="533" spans="1:11" ht="42" customHeight="1">
      <c r="A533" s="2" t="s">
        <v>1446</v>
      </c>
      <c r="B533" s="2" t="s">
        <v>1447</v>
      </c>
      <c r="C533" s="2" t="s">
        <v>26</v>
      </c>
      <c r="D533" s="2" t="s">
        <v>27</v>
      </c>
      <c r="E533" s="5">
        <v>-29939</v>
      </c>
      <c r="F533" s="3" t="s">
        <v>110</v>
      </c>
      <c r="G533" s="3" t="s">
        <v>933</v>
      </c>
      <c r="H533" s="2" t="s">
        <v>36</v>
      </c>
      <c r="I533" s="2" t="s">
        <v>1448</v>
      </c>
      <c r="J533" s="3" t="str">
        <f>HYPERLINK("https://www.boe.es/gazeta/dias/1818/01/10/pdfs/GMD-1818-5.pdf#page=9","Abrir facsímil")</f>
        <v>Abrir facsímil</v>
      </c>
      <c r="K533" s="3" t="s">
        <v>38</v>
      </c>
    </row>
    <row r="534" spans="1:11" ht="42" customHeight="1">
      <c r="A534" s="2" t="s">
        <v>1449</v>
      </c>
      <c r="B534" s="2" t="s">
        <v>1450</v>
      </c>
      <c r="C534" s="2" t="s">
        <v>26</v>
      </c>
      <c r="D534" s="2" t="s">
        <v>27</v>
      </c>
      <c r="E534" s="5">
        <v>-29731</v>
      </c>
      <c r="F534" s="3" t="s">
        <v>299</v>
      </c>
      <c r="G534" s="3" t="s">
        <v>20</v>
      </c>
      <c r="H534" s="2" t="s">
        <v>36</v>
      </c>
      <c r="I534" s="2" t="s">
        <v>1451</v>
      </c>
      <c r="J534" s="3" t="str">
        <f>HYPERLINK("https://www.boe.es/gazeta/dias/1818/08/06/pdfs/GMD-1818-94.pdf#page=7","Abrir facsímil")</f>
        <v>Abrir facsímil</v>
      </c>
      <c r="K534" s="3" t="s">
        <v>38</v>
      </c>
    </row>
    <row r="535" spans="1:11" ht="42" customHeight="1">
      <c r="A535" s="2" t="s">
        <v>1452</v>
      </c>
      <c r="B535" s="2" t="s">
        <v>1453</v>
      </c>
      <c r="C535" s="2" t="s">
        <v>26</v>
      </c>
      <c r="D535" s="2" t="s">
        <v>27</v>
      </c>
      <c r="E535" s="5">
        <v>-29731</v>
      </c>
      <c r="F535" s="3" t="s">
        <v>299</v>
      </c>
      <c r="G535" s="3" t="s">
        <v>20</v>
      </c>
      <c r="H535" s="2" t="s">
        <v>36</v>
      </c>
      <c r="I535" s="2" t="s">
        <v>1454</v>
      </c>
      <c r="J535" s="3" t="str">
        <f>HYPERLINK("https://www.boe.es/gazeta/dias/1818/08/06/pdfs/GMD-1818-94.pdf#page=7","Abrir facsímil")</f>
        <v>Abrir facsímil</v>
      </c>
      <c r="K535" s="3" t="s">
        <v>38</v>
      </c>
    </row>
    <row r="536" spans="1:11" ht="42" customHeight="1">
      <c r="A536" s="2" t="s">
        <v>1455</v>
      </c>
      <c r="B536" s="2" t="s">
        <v>1456</v>
      </c>
      <c r="C536" s="2" t="s">
        <v>63</v>
      </c>
      <c r="D536" s="2" t="s">
        <v>18</v>
      </c>
      <c r="E536" s="5">
        <v>-29617</v>
      </c>
      <c r="F536" s="3" t="s">
        <v>995</v>
      </c>
      <c r="G536" s="3" t="s">
        <v>45</v>
      </c>
      <c r="H536" s="2" t="s">
        <v>36</v>
      </c>
      <c r="I536" s="2" t="s">
        <v>1457</v>
      </c>
      <c r="J536" s="3" t="str">
        <f>HYPERLINK("https://www.boe.es/gazeta/dias/1818/11/28/pdfs/GMD-1818-144.pdf#page=8","Abrir facsímil")</f>
        <v>Abrir facsímil</v>
      </c>
      <c r="K536" s="3" t="s">
        <v>38</v>
      </c>
    </row>
    <row r="537" spans="1:11" ht="42" customHeight="1">
      <c r="A537" s="2" t="s">
        <v>1458</v>
      </c>
      <c r="B537" s="2" t="s">
        <v>1459</v>
      </c>
      <c r="C537" s="2" t="s">
        <v>63</v>
      </c>
      <c r="D537" s="2" t="s">
        <v>18</v>
      </c>
      <c r="E537" s="5">
        <v>-29617</v>
      </c>
      <c r="F537" s="3" t="s">
        <v>995</v>
      </c>
      <c r="G537" s="3" t="s">
        <v>45</v>
      </c>
      <c r="H537" s="2" t="s">
        <v>36</v>
      </c>
      <c r="I537" s="2" t="s">
        <v>1460</v>
      </c>
      <c r="J537" s="3" t="str">
        <f>HYPERLINK("https://www.boe.es/gazeta/dias/1818/11/28/pdfs/GMD-1818-144.pdf#page=8","Abrir facsímil")</f>
        <v>Abrir facsímil</v>
      </c>
      <c r="K537" s="3" t="s">
        <v>38</v>
      </c>
    </row>
    <row r="538" spans="1:11" ht="42" customHeight="1">
      <c r="A538" s="2" t="s">
        <v>1461</v>
      </c>
      <c r="B538" s="2" t="s">
        <v>1462</v>
      </c>
      <c r="C538" s="2" t="s">
        <v>26</v>
      </c>
      <c r="D538" s="2" t="s">
        <v>27</v>
      </c>
      <c r="E538" s="5">
        <v>-29635</v>
      </c>
      <c r="F538" s="3" t="s">
        <v>560</v>
      </c>
      <c r="G538" s="3" t="s">
        <v>45</v>
      </c>
      <c r="H538" s="2" t="s">
        <v>36</v>
      </c>
      <c r="I538" s="2" t="s">
        <v>1463</v>
      </c>
      <c r="J538" s="3" t="str">
        <f>HYPERLINK("https://www.boe.es/gazeta/dias/1818/11/10/pdfs/GMD-1818-136.pdf#page=8","Abrir facsímil")</f>
        <v>Abrir facsímil</v>
      </c>
      <c r="K538" s="3" t="s">
        <v>38</v>
      </c>
    </row>
    <row r="539" spans="1:11" ht="42" customHeight="1">
      <c r="A539" s="2" t="s">
        <v>1464</v>
      </c>
      <c r="B539" s="2" t="s">
        <v>1465</v>
      </c>
      <c r="C539" s="2" t="s">
        <v>26</v>
      </c>
      <c r="D539" s="2" t="s">
        <v>27</v>
      </c>
      <c r="E539" s="5">
        <v>-29614</v>
      </c>
      <c r="F539" s="3" t="s">
        <v>620</v>
      </c>
      <c r="G539" s="3" t="s">
        <v>20</v>
      </c>
      <c r="H539" s="2" t="s">
        <v>36</v>
      </c>
      <c r="I539" s="2" t="s">
        <v>1466</v>
      </c>
      <c r="J539" s="3" t="str">
        <f>HYPERLINK("https://www.boe.es/gazeta/dias/1818/12/01/pdfs/GMD-1818-145.pdf#page=7","Abrir facsímil")</f>
        <v>Abrir facsímil</v>
      </c>
      <c r="K539" s="3" t="s">
        <v>38</v>
      </c>
    </row>
    <row r="540" spans="1:11" ht="42" customHeight="1">
      <c r="A540" s="2" t="s">
        <v>1467</v>
      </c>
      <c r="B540" s="2" t="s">
        <v>1468</v>
      </c>
      <c r="C540" s="2" t="s">
        <v>26</v>
      </c>
      <c r="D540" s="2" t="s">
        <v>27</v>
      </c>
      <c r="E540" s="5">
        <v>-29740</v>
      </c>
      <c r="F540" s="3" t="s">
        <v>152</v>
      </c>
      <c r="G540" s="3" t="s">
        <v>153</v>
      </c>
      <c r="H540" s="2" t="s">
        <v>36</v>
      </c>
      <c r="I540" s="2" t="s">
        <v>1469</v>
      </c>
      <c r="J540" s="3" t="str">
        <f>HYPERLINK("https://www.boe.es/gazeta/dias/1818/07/28/pdfs/GMD-1818-90.pdf#page=6","Abrir facsímil")</f>
        <v>Abrir facsímil</v>
      </c>
      <c r="K540" s="3" t="s">
        <v>38</v>
      </c>
    </row>
    <row r="541" spans="1:11" ht="42" customHeight="1">
      <c r="A541" s="2" t="s">
        <v>1470</v>
      </c>
      <c r="B541" s="2" t="s">
        <v>1471</v>
      </c>
      <c r="C541" s="2" t="s">
        <v>57</v>
      </c>
      <c r="D541" s="2" t="s">
        <v>18</v>
      </c>
      <c r="E541" s="5">
        <v>-29591</v>
      </c>
      <c r="F541" s="3" t="s">
        <v>1414</v>
      </c>
      <c r="G541" s="3" t="s">
        <v>106</v>
      </c>
      <c r="H541" s="2" t="s">
        <v>36</v>
      </c>
      <c r="I541" s="2" t="s">
        <v>1472</v>
      </c>
      <c r="J541" s="3" t="str">
        <f>HYPERLINK("https://www.boe.es/gazeta/dias/1818/12/24/pdfs/GMD-1818-155.pdf#page=5","Abrir facsímil")</f>
        <v>Abrir facsímil</v>
      </c>
      <c r="K541" s="3" t="s">
        <v>38</v>
      </c>
    </row>
    <row r="542" spans="1:11" ht="42" customHeight="1">
      <c r="A542" s="2" t="s">
        <v>1473</v>
      </c>
      <c r="B542" s="2" t="s">
        <v>1474</v>
      </c>
      <c r="C542" s="2" t="s">
        <v>68</v>
      </c>
      <c r="D542" s="2" t="s">
        <v>69</v>
      </c>
      <c r="E542" s="5">
        <v>-29913</v>
      </c>
      <c r="F542" s="3" t="s">
        <v>449</v>
      </c>
      <c r="G542" s="3" t="s">
        <v>45</v>
      </c>
      <c r="H542" s="2" t="s">
        <v>36</v>
      </c>
      <c r="I542" s="2" t="s">
        <v>1475</v>
      </c>
      <c r="J542" s="3" t="str">
        <f>HYPERLINK("https://www.boe.es/gazeta/dias/1818/02/05/pdfs/GMD-1818-16.pdf#page=8","Abrir facsímil")</f>
        <v>Abrir facsímil</v>
      </c>
      <c r="K542" s="3" t="s">
        <v>38</v>
      </c>
    </row>
    <row r="543" spans="1:11" ht="42" customHeight="1">
      <c r="A543" s="2" t="s">
        <v>1476</v>
      </c>
      <c r="B543" s="2" t="s">
        <v>1477</v>
      </c>
      <c r="C543" s="2" t="s">
        <v>17</v>
      </c>
      <c r="D543" s="2" t="s">
        <v>18</v>
      </c>
      <c r="E543" s="5">
        <v>-29645</v>
      </c>
      <c r="F543" s="3" t="s">
        <v>577</v>
      </c>
      <c r="G543" s="3" t="s">
        <v>45</v>
      </c>
      <c r="H543" s="2" t="s">
        <v>36</v>
      </c>
      <c r="I543" s="2" t="s">
        <v>1478</v>
      </c>
      <c r="J543" s="3" t="str">
        <f>HYPERLINK("https://www.boe.es/gazeta/dias/1818/10/31/pdfs/GMD-1818-132.pdf#page=8","Abrir facsímil")</f>
        <v>Abrir facsímil</v>
      </c>
      <c r="K543" s="3" t="s">
        <v>38</v>
      </c>
    </row>
    <row r="544" spans="1:11" ht="42" customHeight="1">
      <c r="A544" s="2" t="s">
        <v>1479</v>
      </c>
      <c r="B544" s="2" t="s">
        <v>1480</v>
      </c>
      <c r="C544" s="2" t="s">
        <v>26</v>
      </c>
      <c r="D544" s="2" t="s">
        <v>27</v>
      </c>
      <c r="E544" s="5">
        <v>-29682</v>
      </c>
      <c r="F544" s="3" t="s">
        <v>170</v>
      </c>
      <c r="G544" s="3" t="s">
        <v>20</v>
      </c>
      <c r="H544" s="2" t="s">
        <v>36</v>
      </c>
      <c r="I544" s="2" t="s">
        <v>1481</v>
      </c>
      <c r="J544" s="3" t="str">
        <f>HYPERLINK("https://www.boe.es/gazeta/dias/1818/09/24/pdfs/GMD-1818-115.pdf#page=7","Abrir facsímil")</f>
        <v>Abrir facsímil</v>
      </c>
      <c r="K544" s="3" t="s">
        <v>38</v>
      </c>
    </row>
    <row r="545" spans="1:11" ht="42" customHeight="1">
      <c r="A545" s="2" t="s">
        <v>1482</v>
      </c>
      <c r="B545" s="2" t="s">
        <v>1483</v>
      </c>
      <c r="C545" s="2" t="s">
        <v>63</v>
      </c>
      <c r="D545" s="2" t="s">
        <v>18</v>
      </c>
      <c r="E545" s="5">
        <v>-29701</v>
      </c>
      <c r="F545" s="3" t="s">
        <v>596</v>
      </c>
      <c r="G545" s="3" t="s">
        <v>59</v>
      </c>
      <c r="H545" s="2" t="s">
        <v>21</v>
      </c>
      <c r="I545" s="2" t="s">
        <v>1484</v>
      </c>
      <c r="J545" s="3" t="str">
        <f>HYPERLINK("https://www.boe.es/gazeta/dias/1818/09/05/pdfs/GMD-1818-107.pdf#page=6","Abrir facsímil")</f>
        <v>Abrir facsímil</v>
      </c>
      <c r="K545" s="3" t="s">
        <v>23</v>
      </c>
    </row>
    <row r="546" spans="1:11" ht="42" customHeight="1">
      <c r="A546" s="2" t="s">
        <v>1485</v>
      </c>
      <c r="B546" s="2" t="s">
        <v>1485</v>
      </c>
      <c r="C546" s="2" t="s">
        <v>26</v>
      </c>
      <c r="D546" s="2" t="s">
        <v>27</v>
      </c>
      <c r="E546" s="5">
        <v>-29593</v>
      </c>
      <c r="F546" s="3" t="s">
        <v>185</v>
      </c>
      <c r="G546" s="3" t="s">
        <v>85</v>
      </c>
      <c r="H546" s="2" t="s">
        <v>36</v>
      </c>
      <c r="I546" s="2" t="s">
        <v>1486</v>
      </c>
      <c r="J546" s="3" t="str">
        <f>HYPERLINK("https://www.boe.es/gazeta/dias/1818/12/22/pdfs/GMD-1818-154.pdf#page=3","Abrir facsímil")</f>
        <v>Abrir facsímil</v>
      </c>
      <c r="K546" s="3" t="s">
        <v>38</v>
      </c>
    </row>
    <row r="547" spans="1:11" ht="42" customHeight="1">
      <c r="A547" s="2" t="s">
        <v>1487</v>
      </c>
      <c r="B547" s="2" t="s">
        <v>1487</v>
      </c>
      <c r="C547" s="2" t="s">
        <v>17</v>
      </c>
      <c r="D547" s="2" t="s">
        <v>18</v>
      </c>
      <c r="E547" s="5">
        <v>-29708</v>
      </c>
      <c r="F547" s="3" t="s">
        <v>413</v>
      </c>
      <c r="G547" s="3" t="s">
        <v>106</v>
      </c>
      <c r="H547" s="2" t="s">
        <v>36</v>
      </c>
      <c r="I547" s="2" t="s">
        <v>1488</v>
      </c>
      <c r="J547" s="3" t="str">
        <f>HYPERLINK("https://www.boe.es/gazeta/dias/1818/08/29/pdfs/GMD-1818-104.pdf#page=5","Abrir facsímil")</f>
        <v>Abrir facsímil</v>
      </c>
      <c r="K547" s="3" t="s">
        <v>38</v>
      </c>
    </row>
    <row r="548" spans="1:11" ht="42" customHeight="1">
      <c r="A548" s="2" t="s">
        <v>1487</v>
      </c>
      <c r="B548" s="2" t="s">
        <v>1487</v>
      </c>
      <c r="C548" s="2" t="s">
        <v>57</v>
      </c>
      <c r="D548" s="2" t="s">
        <v>18</v>
      </c>
      <c r="E548" s="5">
        <v>-29624</v>
      </c>
      <c r="F548" s="3" t="s">
        <v>131</v>
      </c>
      <c r="G548" s="3" t="s">
        <v>20</v>
      </c>
      <c r="H548" s="2" t="s">
        <v>36</v>
      </c>
      <c r="I548" s="2" t="s">
        <v>1489</v>
      </c>
      <c r="J548" s="3" t="str">
        <f>HYPERLINK("https://www.boe.es/gazeta/dias/1818/11/21/pdfs/GMD-1818-141.pdf#page=7","Abrir facsímil")</f>
        <v>Abrir facsímil</v>
      </c>
      <c r="K548" s="3" t="s">
        <v>38</v>
      </c>
    </row>
    <row r="549" spans="1:11" ht="42" customHeight="1">
      <c r="A549" s="2" t="s">
        <v>1490</v>
      </c>
      <c r="B549" s="2" t="s">
        <v>1491</v>
      </c>
      <c r="C549" s="2" t="s">
        <v>26</v>
      </c>
      <c r="D549" s="2" t="s">
        <v>27</v>
      </c>
      <c r="E549" s="5">
        <v>-29918</v>
      </c>
      <c r="F549" s="3" t="s">
        <v>89</v>
      </c>
      <c r="G549" s="3" t="s">
        <v>1492</v>
      </c>
      <c r="H549" s="2" t="s">
        <v>36</v>
      </c>
      <c r="I549" s="2" t="s">
        <v>1493</v>
      </c>
      <c r="J549" s="3" t="str">
        <f>HYPERLINK("https://www.boe.es/gazeta/dias/1818/01/31/pdfs/GMD-1818-14.pdf#page=6","Abrir facsímil")</f>
        <v>Abrir facsímil</v>
      </c>
      <c r="K549" s="3" t="s">
        <v>38</v>
      </c>
    </row>
    <row r="550" spans="1:11" ht="42" customHeight="1">
      <c r="A550" s="2" t="s">
        <v>1494</v>
      </c>
      <c r="B550" s="2" t="s">
        <v>1495</v>
      </c>
      <c r="C550" s="2" t="s">
        <v>17</v>
      </c>
      <c r="D550" s="2" t="s">
        <v>18</v>
      </c>
      <c r="E550" s="5">
        <v>-29698</v>
      </c>
      <c r="F550" s="3" t="s">
        <v>148</v>
      </c>
      <c r="G550" s="3" t="s">
        <v>29</v>
      </c>
      <c r="H550" s="2" t="s">
        <v>36</v>
      </c>
      <c r="I550" s="2" t="s">
        <v>1496</v>
      </c>
      <c r="J550" s="3" t="str">
        <f>HYPERLINK("https://www.boe.es/gazeta/dias/1818/09/08/pdfs/GMD-1818-108.pdf#page=4","Abrir facsímil")</f>
        <v>Abrir facsímil</v>
      </c>
      <c r="K550" s="3" t="s">
        <v>38</v>
      </c>
    </row>
    <row r="551" spans="1:11" ht="42" customHeight="1">
      <c r="A551" s="2" t="s">
        <v>1497</v>
      </c>
      <c r="B551" s="2" t="s">
        <v>1497</v>
      </c>
      <c r="C551" s="2" t="s">
        <v>97</v>
      </c>
      <c r="D551" s="2" t="s">
        <v>18</v>
      </c>
      <c r="E551" s="5">
        <v>-29869</v>
      </c>
      <c r="F551" s="3" t="s">
        <v>140</v>
      </c>
      <c r="G551" s="3" t="s">
        <v>45</v>
      </c>
      <c r="H551" s="2" t="s">
        <v>36</v>
      </c>
      <c r="I551" s="2" t="s">
        <v>1498</v>
      </c>
      <c r="J551" s="3" t="str">
        <f>HYPERLINK("https://www.boe.es/gazeta/dias/1818/03/21/pdfs/GMD-1818-35.pdf#page=8","Abrir facsímil")</f>
        <v>Abrir facsímil</v>
      </c>
      <c r="K551" s="3" t="s">
        <v>38</v>
      </c>
    </row>
    <row r="552" spans="1:11" ht="42" customHeight="1">
      <c r="A552" s="2" t="s">
        <v>1499</v>
      </c>
      <c r="B552" s="2" t="s">
        <v>1500</v>
      </c>
      <c r="C552" s="2" t="s">
        <v>26</v>
      </c>
      <c r="D552" s="2" t="s">
        <v>27</v>
      </c>
      <c r="E552" s="5">
        <v>-29801</v>
      </c>
      <c r="F552" s="3" t="s">
        <v>288</v>
      </c>
      <c r="G552" s="3" t="s">
        <v>29</v>
      </c>
      <c r="H552" s="2" t="s">
        <v>36</v>
      </c>
      <c r="I552" s="2" t="s">
        <v>1501</v>
      </c>
      <c r="J552" s="3" t="str">
        <f>HYPERLINK("https://www.boe.es/gazeta/dias/1818/05/28/pdfs/GMD-1818-64.pdf#page=4","Abrir facsímil")</f>
        <v>Abrir facsímil</v>
      </c>
      <c r="K552" s="3" t="s">
        <v>38</v>
      </c>
    </row>
    <row r="553" spans="1:11" ht="42" customHeight="1">
      <c r="A553" s="2" t="s">
        <v>1502</v>
      </c>
      <c r="B553" s="2" t="s">
        <v>1503</v>
      </c>
      <c r="C553" s="2" t="s">
        <v>26</v>
      </c>
      <c r="D553" s="2" t="s">
        <v>27</v>
      </c>
      <c r="E553" s="5">
        <v>-29887</v>
      </c>
      <c r="F553" s="3" t="s">
        <v>613</v>
      </c>
      <c r="G553" s="3" t="s">
        <v>59</v>
      </c>
      <c r="H553" s="2" t="s">
        <v>36</v>
      </c>
      <c r="I553" s="2" t="s">
        <v>1504</v>
      </c>
      <c r="J553" s="3" t="str">
        <f>HYPERLINK("https://www.boe.es/gazeta/dias/1818/03/03/pdfs/GMD-1818-27.pdf#page=6","Abrir facsímil")</f>
        <v>Abrir facsímil</v>
      </c>
      <c r="K553" s="3" t="s">
        <v>38</v>
      </c>
    </row>
    <row r="554" spans="1:11" ht="42" customHeight="1">
      <c r="A554" s="2" t="s">
        <v>1505</v>
      </c>
      <c r="B554" s="2" t="s">
        <v>1506</v>
      </c>
      <c r="C554" s="2" t="s">
        <v>63</v>
      </c>
      <c r="D554" s="2" t="s">
        <v>18</v>
      </c>
      <c r="E554" s="5">
        <v>-29703</v>
      </c>
      <c r="F554" s="3" t="s">
        <v>294</v>
      </c>
      <c r="G554" s="3" t="s">
        <v>45</v>
      </c>
      <c r="H554" s="2" t="s">
        <v>36</v>
      </c>
      <c r="I554" s="2" t="s">
        <v>1507</v>
      </c>
      <c r="J554" s="3" t="str">
        <f>HYPERLINK("https://www.boe.es/gazeta/dias/1818/09/03/pdfs/GMD-1818-106.pdf#page=8","Abrir facsímil")</f>
        <v>Abrir facsímil</v>
      </c>
      <c r="K554" s="3" t="s">
        <v>38</v>
      </c>
    </row>
    <row r="555" spans="1:11" ht="42" customHeight="1">
      <c r="A555" s="2" t="s">
        <v>1508</v>
      </c>
      <c r="B555" s="2" t="s">
        <v>1509</v>
      </c>
      <c r="C555" s="2" t="s">
        <v>26</v>
      </c>
      <c r="D555" s="2" t="s">
        <v>27</v>
      </c>
      <c r="E555" s="5">
        <v>-29920</v>
      </c>
      <c r="F555" s="3" t="s">
        <v>201</v>
      </c>
      <c r="G555" s="3" t="s">
        <v>1510</v>
      </c>
      <c r="H555" s="2" t="s">
        <v>36</v>
      </c>
      <c r="I555" s="2" t="s">
        <v>1511</v>
      </c>
      <c r="J555" s="3" t="str">
        <f>HYPERLINK("https://www.boe.es/gazeta/dias/1818/01/29/pdfs/GMD-1818-13.pdf#page=9","Abrir facsímil")</f>
        <v>Abrir facsímil</v>
      </c>
      <c r="K555" s="3" t="s">
        <v>38</v>
      </c>
    </row>
    <row r="556" spans="1:11" ht="42" customHeight="1">
      <c r="A556" s="2" t="s">
        <v>1508</v>
      </c>
      <c r="B556" s="2" t="s">
        <v>1509</v>
      </c>
      <c r="C556" s="2" t="s">
        <v>26</v>
      </c>
      <c r="D556" s="2" t="s">
        <v>27</v>
      </c>
      <c r="E556" s="5">
        <v>-29920</v>
      </c>
      <c r="F556" s="3" t="s">
        <v>201</v>
      </c>
      <c r="G556" s="3" t="s">
        <v>111</v>
      </c>
      <c r="H556" s="2" t="s">
        <v>36</v>
      </c>
      <c r="I556" s="2" t="s">
        <v>1512</v>
      </c>
      <c r="J556" s="3" t="str">
        <f>HYPERLINK("https://www.boe.es/gazeta/dias/1818/01/29/pdfs/GMD-1818-13.pdf#page=11","Abrir facsímil")</f>
        <v>Abrir facsímil</v>
      </c>
      <c r="K556" s="3" t="s">
        <v>38</v>
      </c>
    </row>
    <row r="557" spans="1:11" ht="42" customHeight="1">
      <c r="A557" s="2" t="s">
        <v>1508</v>
      </c>
      <c r="B557" s="2" t="s">
        <v>1509</v>
      </c>
      <c r="C557" s="2" t="s">
        <v>26</v>
      </c>
      <c r="D557" s="2" t="s">
        <v>27</v>
      </c>
      <c r="E557" s="5">
        <v>-29920</v>
      </c>
      <c r="F557" s="3" t="s">
        <v>201</v>
      </c>
      <c r="G557" s="3" t="s">
        <v>45</v>
      </c>
      <c r="H557" s="2" t="s">
        <v>36</v>
      </c>
      <c r="I557" s="2" t="s">
        <v>1513</v>
      </c>
      <c r="J557" s="3" t="str">
        <f>HYPERLINK("https://www.boe.es/gazeta/dias/1818/01/29/pdfs/GMD-1818-13.pdf#page=8","Abrir facsímil")</f>
        <v>Abrir facsímil</v>
      </c>
      <c r="K557" s="3" t="s">
        <v>38</v>
      </c>
    </row>
    <row r="558" spans="1:11" ht="42" customHeight="1">
      <c r="A558" s="2" t="s">
        <v>1514</v>
      </c>
      <c r="B558" s="2" t="s">
        <v>1515</v>
      </c>
      <c r="C558" s="2" t="s">
        <v>26</v>
      </c>
      <c r="D558" s="2" t="s">
        <v>27</v>
      </c>
      <c r="E558" s="5">
        <v>-29920</v>
      </c>
      <c r="F558" s="3" t="s">
        <v>201</v>
      </c>
      <c r="G558" s="3" t="s">
        <v>106</v>
      </c>
      <c r="H558" s="2" t="s">
        <v>36</v>
      </c>
      <c r="I558" s="2" t="s">
        <v>1516</v>
      </c>
      <c r="J558" s="3" t="str">
        <f>HYPERLINK("https://www.boe.es/gazeta/dias/1818/01/29/pdfs/GMD-1818-13.pdf#page=5","Abrir facsímil")</f>
        <v>Abrir facsímil</v>
      </c>
      <c r="K558" s="3" t="s">
        <v>38</v>
      </c>
    </row>
    <row r="559" spans="1:11" ht="42" customHeight="1">
      <c r="A559" s="2" t="s">
        <v>1517</v>
      </c>
      <c r="B559" s="2" t="s">
        <v>1518</v>
      </c>
      <c r="C559" s="2" t="s">
        <v>17</v>
      </c>
      <c r="D559" s="2" t="s">
        <v>18</v>
      </c>
      <c r="E559" s="5">
        <v>-29698</v>
      </c>
      <c r="F559" s="3" t="s">
        <v>148</v>
      </c>
      <c r="G559" s="3" t="s">
        <v>29</v>
      </c>
      <c r="H559" s="2" t="s">
        <v>36</v>
      </c>
      <c r="I559" s="2" t="s">
        <v>1519</v>
      </c>
      <c r="J559" s="3" t="str">
        <f>HYPERLINK("https://www.boe.es/gazeta/dias/1818/09/08/pdfs/GMD-1818-108.pdf#page=4","Abrir facsímil")</f>
        <v>Abrir facsímil</v>
      </c>
      <c r="K559" s="3" t="s">
        <v>38</v>
      </c>
    </row>
    <row r="560" spans="1:11" ht="42" customHeight="1">
      <c r="A560" s="2" t="s">
        <v>1520</v>
      </c>
      <c r="B560" s="2" t="s">
        <v>1521</v>
      </c>
      <c r="C560" s="2" t="s">
        <v>26</v>
      </c>
      <c r="D560" s="2" t="s">
        <v>27</v>
      </c>
      <c r="E560" s="5">
        <v>-29803</v>
      </c>
      <c r="F560" s="3" t="s">
        <v>1393</v>
      </c>
      <c r="G560" s="3" t="s">
        <v>1522</v>
      </c>
      <c r="H560" s="2" t="s">
        <v>36</v>
      </c>
      <c r="I560" s="2" t="s">
        <v>1523</v>
      </c>
      <c r="J560" s="3" t="str">
        <f>HYPERLINK("https://www.boe.es/gazeta/dias/1818/05/26/pdfs/GMD-1818-63.pdf#page=5","Abrir facsímil")</f>
        <v>Abrir facsímil</v>
      </c>
      <c r="K560" s="3" t="s">
        <v>38</v>
      </c>
    </row>
    <row r="561" spans="1:11" ht="42" customHeight="1">
      <c r="A561" s="2" t="s">
        <v>1524</v>
      </c>
      <c r="B561" s="2" t="s">
        <v>1525</v>
      </c>
      <c r="C561" s="2" t="s">
        <v>33</v>
      </c>
      <c r="D561" s="2" t="s">
        <v>18</v>
      </c>
      <c r="E561" s="5">
        <v>-29698</v>
      </c>
      <c r="F561" s="3" t="s">
        <v>148</v>
      </c>
      <c r="G561" s="3" t="s">
        <v>106</v>
      </c>
      <c r="H561" s="2" t="s">
        <v>36</v>
      </c>
      <c r="I561" s="2" t="s">
        <v>1526</v>
      </c>
      <c r="J561" s="3" t="str">
        <f>HYPERLINK("https://www.boe.es/gazeta/dias/1818/09/08/pdfs/GMD-1818-108.pdf#page=5","Abrir facsímil")</f>
        <v>Abrir facsímil</v>
      </c>
      <c r="K561" s="3" t="s">
        <v>38</v>
      </c>
    </row>
    <row r="562" spans="1:11" ht="42" customHeight="1">
      <c r="A562" s="2" t="s">
        <v>1527</v>
      </c>
      <c r="B562" s="2" t="s">
        <v>1528</v>
      </c>
      <c r="C562" s="2" t="s">
        <v>68</v>
      </c>
      <c r="D562" s="2" t="s">
        <v>69</v>
      </c>
      <c r="E562" s="5">
        <v>-29726</v>
      </c>
      <c r="F562" s="3" t="s">
        <v>70</v>
      </c>
      <c r="G562" s="3" t="s">
        <v>71</v>
      </c>
      <c r="H562" s="2" t="s">
        <v>36</v>
      </c>
      <c r="I562" s="2" t="s">
        <v>1529</v>
      </c>
      <c r="J562" s="3" t="str">
        <f>HYPERLINK("https://www.boe.es/gazeta/dias/1818/08/11/pdfs/GMD-1818-96.pdf#page=16","Abrir facsímil")</f>
        <v>Abrir facsímil</v>
      </c>
      <c r="K562" s="3" t="s">
        <v>38</v>
      </c>
    </row>
    <row r="563" spans="1:11" ht="42" customHeight="1">
      <c r="A563" s="2" t="s">
        <v>1530</v>
      </c>
      <c r="B563" s="2" t="s">
        <v>1531</v>
      </c>
      <c r="C563" s="2" t="s">
        <v>68</v>
      </c>
      <c r="D563" s="2" t="s">
        <v>69</v>
      </c>
      <c r="E563" s="5">
        <v>-29752</v>
      </c>
      <c r="F563" s="3" t="s">
        <v>165</v>
      </c>
      <c r="G563" s="3" t="s">
        <v>59</v>
      </c>
      <c r="H563" s="2" t="s">
        <v>36</v>
      </c>
      <c r="I563" s="2" t="s">
        <v>1532</v>
      </c>
      <c r="J563" s="3" t="str">
        <f>HYPERLINK("https://www.boe.es/gazeta/dias/1818/07/16/pdfs/GMD-1818-85.pdf#page=6","Abrir facsímil")</f>
        <v>Abrir facsímil</v>
      </c>
      <c r="K563" s="3" t="s">
        <v>38</v>
      </c>
    </row>
    <row r="564" spans="1:11" ht="42" customHeight="1">
      <c r="A564" s="2" t="s">
        <v>1533</v>
      </c>
      <c r="B564" s="2" t="s">
        <v>1534</v>
      </c>
      <c r="C564" s="2" t="s">
        <v>17</v>
      </c>
      <c r="D564" s="2" t="s">
        <v>668</v>
      </c>
      <c r="E564" s="5">
        <v>-29661</v>
      </c>
      <c r="F564" s="3" t="s">
        <v>669</v>
      </c>
      <c r="G564" s="3" t="s">
        <v>85</v>
      </c>
      <c r="H564" s="2" t="s">
        <v>36</v>
      </c>
      <c r="I564" s="2" t="s">
        <v>1535</v>
      </c>
      <c r="J564" s="3" t="str">
        <f>HYPERLINK("https://www.boe.es/gazeta/dias/1818/10/15/pdfs/GMD-1818-125E.pdf#page=3","Abrir facsímil")</f>
        <v>Abrir facsímil</v>
      </c>
      <c r="K564" s="3" t="s">
        <v>38</v>
      </c>
    </row>
    <row r="565" spans="1:11" ht="42" customHeight="1">
      <c r="A565" s="2" t="s">
        <v>1536</v>
      </c>
      <c r="B565" s="2" t="s">
        <v>1536</v>
      </c>
      <c r="C565" s="2" t="s">
        <v>26</v>
      </c>
      <c r="D565" s="2" t="s">
        <v>27</v>
      </c>
      <c r="E565" s="5">
        <v>-29656</v>
      </c>
      <c r="F565" s="3" t="s">
        <v>601</v>
      </c>
      <c r="G565" s="3" t="s">
        <v>85</v>
      </c>
      <c r="H565" s="2" t="s">
        <v>36</v>
      </c>
      <c r="I565" s="2" t="s">
        <v>1537</v>
      </c>
      <c r="J565" s="3" t="str">
        <f>HYPERLINK("https://www.boe.es/gazeta/dias/1818/10/20/pdfs/GMD-1818-127.pdf#page=3","Abrir facsímil")</f>
        <v>Abrir facsímil</v>
      </c>
      <c r="K565" s="3" t="s">
        <v>38</v>
      </c>
    </row>
    <row r="566" spans="1:11" ht="42" customHeight="1">
      <c r="A566" s="2" t="s">
        <v>1538</v>
      </c>
      <c r="B566" s="2" t="s">
        <v>1538</v>
      </c>
      <c r="C566" s="2" t="s">
        <v>17</v>
      </c>
      <c r="D566" s="2" t="s">
        <v>18</v>
      </c>
      <c r="E566" s="5">
        <v>-29925</v>
      </c>
      <c r="F566" s="3" t="s">
        <v>447</v>
      </c>
      <c r="G566" s="3" t="s">
        <v>49</v>
      </c>
      <c r="H566" s="2" t="s">
        <v>36</v>
      </c>
      <c r="I566" s="2" t="s">
        <v>1539</v>
      </c>
      <c r="J566" s="3" t="str">
        <f>HYPERLINK("https://www.boe.es/gazeta/dias/1818/01/24/pdfs/GMD-1818-11.pdf#page=1","Abrir facsímil")</f>
        <v>Abrir facsímil</v>
      </c>
      <c r="K566" s="3" t="s">
        <v>38</v>
      </c>
    </row>
    <row r="567" spans="1:11" ht="42" customHeight="1">
      <c r="A567" s="2" t="s">
        <v>1538</v>
      </c>
      <c r="B567" s="2" t="s">
        <v>1538</v>
      </c>
      <c r="C567" s="2" t="s">
        <v>26</v>
      </c>
      <c r="D567" s="2" t="s">
        <v>27</v>
      </c>
      <c r="E567" s="5">
        <v>-29925</v>
      </c>
      <c r="F567" s="3" t="s">
        <v>447</v>
      </c>
      <c r="G567" s="3" t="s">
        <v>120</v>
      </c>
      <c r="H567" s="2" t="s">
        <v>36</v>
      </c>
      <c r="I567" s="2" t="s">
        <v>1540</v>
      </c>
      <c r="J567" s="3" t="str">
        <f>HYPERLINK("https://www.boe.es/gazeta/dias/1818/01/24/pdfs/GMD-1818-11.pdf#page=2","Abrir facsímil")</f>
        <v>Abrir facsímil</v>
      </c>
      <c r="K567" s="3" t="s">
        <v>38</v>
      </c>
    </row>
    <row r="568" spans="1:11" ht="42" customHeight="1">
      <c r="A568" s="2" t="s">
        <v>1541</v>
      </c>
      <c r="B568" s="2" t="s">
        <v>1541</v>
      </c>
      <c r="C568" s="2" t="s">
        <v>26</v>
      </c>
      <c r="D568" s="2" t="s">
        <v>27</v>
      </c>
      <c r="E568" s="5">
        <v>-29712</v>
      </c>
      <c r="F568" s="3" t="s">
        <v>1309</v>
      </c>
      <c r="G568" s="3" t="s">
        <v>1310</v>
      </c>
      <c r="H568" s="2" t="s">
        <v>36</v>
      </c>
      <c r="I568" s="2" t="s">
        <v>1542</v>
      </c>
      <c r="J568" s="3" t="str">
        <f>HYPERLINK("https://www.boe.es/gazeta/dias/1818/08/25/pdfs/GMD-1818-102.pdf#page=8","Abrir facsímil")</f>
        <v>Abrir facsímil</v>
      </c>
      <c r="K568" s="3" t="s">
        <v>38</v>
      </c>
    </row>
    <row r="569" spans="1:11" ht="42" customHeight="1">
      <c r="A569" s="2" t="s">
        <v>1543</v>
      </c>
      <c r="B569" s="2" t="s">
        <v>1543</v>
      </c>
      <c r="C569" s="2" t="s">
        <v>17</v>
      </c>
      <c r="D569" s="2" t="s">
        <v>18</v>
      </c>
      <c r="E569" s="5">
        <v>-29698</v>
      </c>
      <c r="F569" s="3" t="s">
        <v>148</v>
      </c>
      <c r="G569" s="3" t="s">
        <v>29</v>
      </c>
      <c r="H569" s="2" t="s">
        <v>36</v>
      </c>
      <c r="I569" s="2" t="s">
        <v>1544</v>
      </c>
      <c r="J569" s="3" t="str">
        <f>HYPERLINK("https://www.boe.es/gazeta/dias/1818/09/08/pdfs/GMD-1818-108.pdf#page=4","Abrir facsímil")</f>
        <v>Abrir facsímil</v>
      </c>
      <c r="K569" s="3" t="s">
        <v>38</v>
      </c>
    </row>
    <row r="570" spans="1:11" ht="42" customHeight="1">
      <c r="A570" s="2" t="s">
        <v>1545</v>
      </c>
      <c r="B570" s="2" t="s">
        <v>1546</v>
      </c>
      <c r="C570" s="2" t="s">
        <v>26</v>
      </c>
      <c r="D570" s="2" t="s">
        <v>27</v>
      </c>
      <c r="E570" s="5">
        <v>-29647</v>
      </c>
      <c r="F570" s="3" t="s">
        <v>1547</v>
      </c>
      <c r="G570" s="3" t="s">
        <v>20</v>
      </c>
      <c r="H570" s="2" t="s">
        <v>36</v>
      </c>
      <c r="I570" s="2" t="s">
        <v>1548</v>
      </c>
      <c r="J570" s="3" t="str">
        <f>HYPERLINK("https://www.boe.es/gazeta/dias/1818/10/29/pdfs/GMD-1818-131.pdf#page=7","Abrir facsímil")</f>
        <v>Abrir facsímil</v>
      </c>
      <c r="K570" s="3" t="s">
        <v>38</v>
      </c>
    </row>
    <row r="571" spans="1:11" ht="42" customHeight="1">
      <c r="A571" s="2" t="s">
        <v>1549</v>
      </c>
      <c r="B571" s="2" t="s">
        <v>1550</v>
      </c>
      <c r="C571" s="2" t="s">
        <v>26</v>
      </c>
      <c r="D571" s="2" t="s">
        <v>27</v>
      </c>
      <c r="E571" s="5">
        <v>-29899</v>
      </c>
      <c r="F571" s="3" t="s">
        <v>232</v>
      </c>
      <c r="G571" s="3" t="s">
        <v>59</v>
      </c>
      <c r="H571" s="2" t="s">
        <v>36</v>
      </c>
      <c r="I571" s="2" t="s">
        <v>1551</v>
      </c>
      <c r="J571" s="3" t="str">
        <f>HYPERLINK("https://www.boe.es/gazeta/dias/1818/02/19/pdfs/GMD-1818-22.pdf#page=6","Abrir facsímil")</f>
        <v>Abrir facsímil</v>
      </c>
      <c r="K571" s="3" t="s">
        <v>38</v>
      </c>
    </row>
    <row r="572" spans="1:11" ht="42" customHeight="1">
      <c r="A572" s="2" t="s">
        <v>1552</v>
      </c>
      <c r="B572" s="2" t="s">
        <v>1553</v>
      </c>
      <c r="C572" s="2" t="s">
        <v>26</v>
      </c>
      <c r="D572" s="2" t="s">
        <v>27</v>
      </c>
      <c r="E572" s="5">
        <v>-29605</v>
      </c>
      <c r="F572" s="3" t="s">
        <v>888</v>
      </c>
      <c r="G572" s="3" t="s">
        <v>891</v>
      </c>
      <c r="H572" s="2" t="s">
        <v>36</v>
      </c>
      <c r="I572" s="2" t="s">
        <v>1554</v>
      </c>
      <c r="J572" s="3" t="str">
        <f>HYPERLINK("https://www.boe.es/gazeta/dias/1818/12/10/pdfs/GMD-1818-149.pdf#page=7","Abrir facsímil")</f>
        <v>Abrir facsímil</v>
      </c>
      <c r="K572" s="3" t="s">
        <v>38</v>
      </c>
    </row>
    <row r="573" spans="1:11" ht="42" customHeight="1">
      <c r="A573" s="2" t="s">
        <v>1555</v>
      </c>
      <c r="B573" s="2" t="s">
        <v>1556</v>
      </c>
      <c r="C573" s="2" t="s">
        <v>26</v>
      </c>
      <c r="D573" s="2" t="s">
        <v>27</v>
      </c>
      <c r="E573" s="5">
        <v>-29934</v>
      </c>
      <c r="F573" s="3" t="s">
        <v>53</v>
      </c>
      <c r="G573" s="3" t="s">
        <v>59</v>
      </c>
      <c r="H573" s="2" t="s">
        <v>36</v>
      </c>
      <c r="I573" s="2" t="s">
        <v>1557</v>
      </c>
      <c r="J573" s="3" t="str">
        <f>HYPERLINK("https://www.boe.es/gazeta/dias/1818/01/15/pdfs/GMD-1818-7.pdf#page=6","Abrir facsímil")</f>
        <v>Abrir facsímil</v>
      </c>
      <c r="K573" s="3" t="s">
        <v>38</v>
      </c>
    </row>
    <row r="574" spans="1:11" ht="42" customHeight="1">
      <c r="A574" s="2" t="s">
        <v>1558</v>
      </c>
      <c r="B574" s="2" t="s">
        <v>1559</v>
      </c>
      <c r="C574" s="2" t="s">
        <v>26</v>
      </c>
      <c r="D574" s="2" t="s">
        <v>668</v>
      </c>
      <c r="E574" s="5">
        <v>-29661</v>
      </c>
      <c r="F574" s="3" t="s">
        <v>669</v>
      </c>
      <c r="G574" s="3" t="s">
        <v>120</v>
      </c>
      <c r="H574" s="2" t="s">
        <v>36</v>
      </c>
      <c r="I574" s="2" t="s">
        <v>1560</v>
      </c>
      <c r="J574" s="3" t="str">
        <f>HYPERLINK("https://www.boe.es/gazeta/dias/1818/10/15/pdfs/GMD-1818-125E.pdf#page=2","Abrir facsímil")</f>
        <v>Abrir facsímil</v>
      </c>
      <c r="K574" s="3" t="s">
        <v>38</v>
      </c>
    </row>
    <row r="575" spans="1:11" ht="42" customHeight="1">
      <c r="A575" s="2" t="s">
        <v>1558</v>
      </c>
      <c r="B575" s="2" t="s">
        <v>1559</v>
      </c>
      <c r="C575" s="2" t="s">
        <v>26</v>
      </c>
      <c r="D575" s="2" t="s">
        <v>27</v>
      </c>
      <c r="E575" s="5">
        <v>-29621</v>
      </c>
      <c r="F575" s="3" t="s">
        <v>1561</v>
      </c>
      <c r="G575" s="3" t="s">
        <v>1562</v>
      </c>
      <c r="H575" s="2" t="s">
        <v>36</v>
      </c>
      <c r="I575" s="2" t="s">
        <v>1563</v>
      </c>
      <c r="J575" s="3" t="str">
        <f>HYPERLINK("https://www.boe.es/gazeta/dias/1818/11/24/pdfs/GMD-1818-142.pdf#page=7","Abrir facsímil")</f>
        <v>Abrir facsímil</v>
      </c>
      <c r="K575" s="3" t="s">
        <v>38</v>
      </c>
    </row>
    <row r="576" spans="1:11" ht="42" customHeight="1">
      <c r="A576" s="2" t="s">
        <v>1564</v>
      </c>
      <c r="B576" s="2" t="s">
        <v>1565</v>
      </c>
      <c r="C576" s="2" t="s">
        <v>33</v>
      </c>
      <c r="D576" s="2" t="s">
        <v>18</v>
      </c>
      <c r="E576" s="5">
        <v>-29880</v>
      </c>
      <c r="F576" s="3" t="s">
        <v>359</v>
      </c>
      <c r="G576" s="3" t="s">
        <v>1221</v>
      </c>
      <c r="H576" s="2" t="s">
        <v>36</v>
      </c>
      <c r="I576" s="2" t="s">
        <v>1566</v>
      </c>
      <c r="J576" s="3" t="str">
        <f>HYPERLINK("https://www.boe.es/gazeta/dias/1818/03/10/pdfs/GMD-1818-30.pdf#page=8","Abrir facsímil")</f>
        <v>Abrir facsímil</v>
      </c>
      <c r="K576" s="3" t="s">
        <v>38</v>
      </c>
    </row>
    <row r="577" spans="1:11" ht="42" customHeight="1">
      <c r="A577" s="2" t="s">
        <v>1564</v>
      </c>
      <c r="B577" s="2" t="s">
        <v>1565</v>
      </c>
      <c r="C577" s="2" t="s">
        <v>57</v>
      </c>
      <c r="D577" s="2" t="s">
        <v>18</v>
      </c>
      <c r="E577" s="5">
        <v>-29869</v>
      </c>
      <c r="F577" s="3" t="s">
        <v>140</v>
      </c>
      <c r="G577" s="3" t="s">
        <v>45</v>
      </c>
      <c r="H577" s="2" t="s">
        <v>36</v>
      </c>
      <c r="I577" s="2" t="s">
        <v>1567</v>
      </c>
      <c r="J577" s="3" t="str">
        <f>HYPERLINK("https://www.boe.es/gazeta/dias/1818/03/21/pdfs/GMD-1818-35.pdf#page=8","Abrir facsímil")</f>
        <v>Abrir facsímil</v>
      </c>
      <c r="K577" s="3" t="s">
        <v>38</v>
      </c>
    </row>
    <row r="578" spans="1:11" ht="42" customHeight="1">
      <c r="A578" s="2" t="s">
        <v>1568</v>
      </c>
      <c r="B578" s="2" t="s">
        <v>1569</v>
      </c>
      <c r="C578" s="2" t="s">
        <v>17</v>
      </c>
      <c r="D578" s="2" t="s">
        <v>18</v>
      </c>
      <c r="E578" s="5">
        <v>-29901</v>
      </c>
      <c r="F578" s="3" t="s">
        <v>417</v>
      </c>
      <c r="G578" s="3" t="s">
        <v>49</v>
      </c>
      <c r="H578" s="2" t="s">
        <v>36</v>
      </c>
      <c r="I578" s="2" t="s">
        <v>1570</v>
      </c>
      <c r="J578" s="3" t="str">
        <f>HYPERLINK("https://www.boe.es/gazeta/dias/1818/02/17/pdfs/GMD-1818-21.pdf#page=1","Abrir facsímil")</f>
        <v>Abrir facsímil</v>
      </c>
      <c r="K578" s="3" t="s">
        <v>38</v>
      </c>
    </row>
    <row r="579" spans="1:11" ht="42" customHeight="1">
      <c r="A579" s="2" t="s">
        <v>1571</v>
      </c>
      <c r="B579" s="2" t="s">
        <v>1572</v>
      </c>
      <c r="C579" s="2" t="s">
        <v>68</v>
      </c>
      <c r="D579" s="2" t="s">
        <v>69</v>
      </c>
      <c r="E579" s="5">
        <v>-29936</v>
      </c>
      <c r="F579" s="3" t="s">
        <v>398</v>
      </c>
      <c r="G579" s="3" t="s">
        <v>20</v>
      </c>
      <c r="H579" s="2" t="s">
        <v>21</v>
      </c>
      <c r="I579" s="2" t="s">
        <v>1573</v>
      </c>
      <c r="J579" s="3" t="str">
        <f>HYPERLINK("https://www.boe.es/gazeta/dias/1818/01/13/pdfs/GMD-1818-6.pdf#page=7","Abrir facsímil")</f>
        <v>Abrir facsímil</v>
      </c>
      <c r="K579" s="3" t="s">
        <v>23</v>
      </c>
    </row>
    <row r="580" spans="1:11" ht="42" customHeight="1">
      <c r="A580" s="2" t="s">
        <v>1574</v>
      </c>
      <c r="B580" s="2" t="s">
        <v>1574</v>
      </c>
      <c r="C580" s="2" t="s">
        <v>26</v>
      </c>
      <c r="D580" s="2" t="s">
        <v>27</v>
      </c>
      <c r="E580" s="5">
        <v>-29908</v>
      </c>
      <c r="F580" s="3" t="s">
        <v>695</v>
      </c>
      <c r="G580" s="3" t="s">
        <v>1575</v>
      </c>
      <c r="H580" s="2" t="s">
        <v>36</v>
      </c>
      <c r="I580" s="2" t="s">
        <v>1576</v>
      </c>
      <c r="J580" s="3" t="str">
        <f>HYPERLINK("https://www.boe.es/gazeta/dias/1818/02/10/pdfs/GMD-1818-18.pdf#page=2","Abrir facsímil")</f>
        <v>Abrir facsímil</v>
      </c>
      <c r="K580" s="3" t="s">
        <v>38</v>
      </c>
    </row>
    <row r="581" spans="1:11" ht="42" customHeight="1">
      <c r="A581" s="2" t="s">
        <v>1577</v>
      </c>
      <c r="B581" s="2" t="s">
        <v>1577</v>
      </c>
      <c r="C581" s="2" t="s">
        <v>26</v>
      </c>
      <c r="D581" s="2" t="s">
        <v>27</v>
      </c>
      <c r="E581" s="5">
        <v>-29768</v>
      </c>
      <c r="F581" s="3" t="s">
        <v>253</v>
      </c>
      <c r="G581" s="3" t="s">
        <v>49</v>
      </c>
      <c r="H581" s="2" t="s">
        <v>36</v>
      </c>
      <c r="I581" s="2" t="s">
        <v>1578</v>
      </c>
      <c r="J581" s="3" t="str">
        <f>HYPERLINK("https://www.boe.es/gazeta/dias/1818/06/30/pdfs/GMD-1818-78.pdf#page=1","Abrir facsímil")</f>
        <v>Abrir facsímil</v>
      </c>
      <c r="K581" s="3" t="s">
        <v>38</v>
      </c>
    </row>
    <row r="582" spans="1:11" ht="42" customHeight="1">
      <c r="A582" s="2" t="s">
        <v>1579</v>
      </c>
      <c r="B582" s="2" t="s">
        <v>1580</v>
      </c>
      <c r="C582" s="2" t="s">
        <v>17</v>
      </c>
      <c r="D582" s="2" t="s">
        <v>18</v>
      </c>
      <c r="E582" s="5">
        <v>-29719</v>
      </c>
      <c r="F582" s="3" t="s">
        <v>243</v>
      </c>
      <c r="G582" s="3" t="s">
        <v>59</v>
      </c>
      <c r="H582" s="2" t="s">
        <v>36</v>
      </c>
      <c r="I582" s="2" t="s">
        <v>1581</v>
      </c>
      <c r="J582" s="3" t="str">
        <f>HYPERLINK("https://www.boe.es/gazeta/dias/1818/08/18/pdfs/GMD-1818-99.pdf#page=6","Abrir facsímil")</f>
        <v>Abrir facsímil</v>
      </c>
      <c r="K582" s="3" t="s">
        <v>38</v>
      </c>
    </row>
    <row r="583" spans="1:11" ht="42" customHeight="1">
      <c r="A583" s="2" t="s">
        <v>1582</v>
      </c>
      <c r="B583" s="2" t="s">
        <v>1582</v>
      </c>
      <c r="C583" s="2" t="s">
        <v>68</v>
      </c>
      <c r="D583" s="2" t="s">
        <v>69</v>
      </c>
      <c r="E583" s="5">
        <v>-29757</v>
      </c>
      <c r="F583" s="3" t="s">
        <v>115</v>
      </c>
      <c r="G583" s="3" t="s">
        <v>29</v>
      </c>
      <c r="H583" s="2" t="s">
        <v>36</v>
      </c>
      <c r="I583" s="2" t="s">
        <v>1583</v>
      </c>
      <c r="J583" s="3" t="str">
        <f>HYPERLINK("https://www.boe.es/gazeta/dias/1818/07/11/pdfs/GMD-1818-83.pdf#page=4","Abrir facsímil")</f>
        <v>Abrir facsímil</v>
      </c>
      <c r="K583" s="3" t="s">
        <v>38</v>
      </c>
    </row>
    <row r="584" spans="1:11" ht="42" customHeight="1">
      <c r="A584" s="2" t="s">
        <v>1582</v>
      </c>
      <c r="B584" s="2" t="s">
        <v>1582</v>
      </c>
      <c r="C584" s="2" t="s">
        <v>17</v>
      </c>
      <c r="D584" s="2" t="s">
        <v>18</v>
      </c>
      <c r="E584" s="5">
        <v>-29708</v>
      </c>
      <c r="F584" s="3" t="s">
        <v>413</v>
      </c>
      <c r="G584" s="3" t="s">
        <v>106</v>
      </c>
      <c r="H584" s="2" t="s">
        <v>36</v>
      </c>
      <c r="I584" s="2" t="s">
        <v>1584</v>
      </c>
      <c r="J584" s="3" t="str">
        <f>HYPERLINK("https://www.boe.es/gazeta/dias/1818/08/29/pdfs/GMD-1818-104.pdf#page=5","Abrir facsímil")</f>
        <v>Abrir facsímil</v>
      </c>
      <c r="K584" s="3" t="s">
        <v>38</v>
      </c>
    </row>
    <row r="585" spans="1:11" ht="42" customHeight="1">
      <c r="A585" s="2" t="s">
        <v>1585</v>
      </c>
      <c r="B585" s="2" t="s">
        <v>1586</v>
      </c>
      <c r="C585" s="2" t="s">
        <v>26</v>
      </c>
      <c r="D585" s="2" t="s">
        <v>27</v>
      </c>
      <c r="E585" s="5">
        <v>-29677</v>
      </c>
      <c r="F585" s="3" t="s">
        <v>157</v>
      </c>
      <c r="G585" s="3" t="s">
        <v>20</v>
      </c>
      <c r="H585" s="2" t="s">
        <v>36</v>
      </c>
      <c r="I585" s="2" t="s">
        <v>1587</v>
      </c>
      <c r="J585" s="3" t="str">
        <f>HYPERLINK("https://www.boe.es/gazeta/dias/1818/09/29/pdfs/GMD-1818-117.pdf#page=7","Abrir facsímil")</f>
        <v>Abrir facsímil</v>
      </c>
      <c r="K585" s="3" t="s">
        <v>38</v>
      </c>
    </row>
    <row r="586" spans="1:11" ht="42" customHeight="1">
      <c r="A586" s="2" t="s">
        <v>1588</v>
      </c>
      <c r="B586" s="2" t="s">
        <v>1588</v>
      </c>
      <c r="C586" s="2" t="s">
        <v>26</v>
      </c>
      <c r="D586" s="2" t="s">
        <v>27</v>
      </c>
      <c r="E586" s="5">
        <v>-29740</v>
      </c>
      <c r="F586" s="3" t="s">
        <v>152</v>
      </c>
      <c r="G586" s="3" t="s">
        <v>49</v>
      </c>
      <c r="H586" s="2" t="s">
        <v>36</v>
      </c>
      <c r="I586" s="2" t="s">
        <v>1589</v>
      </c>
      <c r="J586" s="3" t="str">
        <f>HYPERLINK("https://www.boe.es/gazeta/dias/1818/07/28/pdfs/GMD-1818-90.pdf#page=1","Abrir facsímil")</f>
        <v>Abrir facsímil</v>
      </c>
      <c r="K586" s="3" t="s">
        <v>38</v>
      </c>
    </row>
    <row r="587" spans="1:11" ht="42" customHeight="1">
      <c r="A587" s="2" t="s">
        <v>1590</v>
      </c>
      <c r="B587" s="2" t="s">
        <v>1591</v>
      </c>
      <c r="C587" s="2" t="s">
        <v>33</v>
      </c>
      <c r="D587" s="2" t="s">
        <v>18</v>
      </c>
      <c r="E587" s="5">
        <v>-29591</v>
      </c>
      <c r="F587" s="3" t="s">
        <v>1414</v>
      </c>
      <c r="G587" s="3" t="s">
        <v>1592</v>
      </c>
      <c r="H587" s="2" t="s">
        <v>36</v>
      </c>
      <c r="I587" s="2" t="s">
        <v>1593</v>
      </c>
      <c r="J587" s="3" t="str">
        <f>HYPERLINK("https://www.boe.es/gazeta/dias/1818/12/24/pdfs/GMD-1818-155.pdf#page=6","Abrir facsímil")</f>
        <v>Abrir facsímil</v>
      </c>
      <c r="K587" s="3" t="s">
        <v>38</v>
      </c>
    </row>
    <row r="588" spans="1:11" ht="42" customHeight="1">
      <c r="A588" s="2" t="s">
        <v>1594</v>
      </c>
      <c r="B588" s="2" t="s">
        <v>1595</v>
      </c>
      <c r="C588" s="2" t="s">
        <v>215</v>
      </c>
      <c r="D588" s="2" t="s">
        <v>18</v>
      </c>
      <c r="E588" s="5">
        <v>-29628</v>
      </c>
      <c r="F588" s="3" t="s">
        <v>58</v>
      </c>
      <c r="G588" s="3" t="s">
        <v>45</v>
      </c>
      <c r="H588" s="2" t="s">
        <v>36</v>
      </c>
      <c r="I588" s="2" t="s">
        <v>1596</v>
      </c>
      <c r="J588" s="3" t="str">
        <f>HYPERLINK("https://www.boe.es/gazeta/dias/1818/11/17/pdfs/GMD-1818-139.pdf#page=8","Abrir facsímil")</f>
        <v>Abrir facsímil</v>
      </c>
      <c r="K588" s="3" t="s">
        <v>38</v>
      </c>
    </row>
    <row r="589" spans="1:11" ht="42" customHeight="1">
      <c r="A589" s="2" t="s">
        <v>1597</v>
      </c>
      <c r="B589" s="2" t="s">
        <v>1598</v>
      </c>
      <c r="C589" s="2" t="s">
        <v>26</v>
      </c>
      <c r="D589" s="2" t="s">
        <v>27</v>
      </c>
      <c r="E589" s="5">
        <v>-29642</v>
      </c>
      <c r="F589" s="3" t="s">
        <v>248</v>
      </c>
      <c r="G589" s="3" t="s">
        <v>20</v>
      </c>
      <c r="H589" s="2" t="s">
        <v>36</v>
      </c>
      <c r="I589" s="2" t="s">
        <v>1599</v>
      </c>
      <c r="J589" s="3" t="str">
        <f>HYPERLINK("https://www.boe.es/gazeta/dias/1818/11/03/pdfs/GMD-1818-133.pdf#page=7","Abrir facsímil")</f>
        <v>Abrir facsímil</v>
      </c>
      <c r="K589" s="3" t="s">
        <v>38</v>
      </c>
    </row>
    <row r="590" spans="1:11" ht="42" customHeight="1">
      <c r="A590" s="2" t="s">
        <v>1600</v>
      </c>
      <c r="B590" s="2" t="s">
        <v>1600</v>
      </c>
      <c r="C590" s="2" t="s">
        <v>26</v>
      </c>
      <c r="D590" s="2" t="s">
        <v>27</v>
      </c>
      <c r="E590" s="5">
        <v>-29761</v>
      </c>
      <c r="F590" s="3" t="s">
        <v>168</v>
      </c>
      <c r="G590" s="3" t="s">
        <v>1601</v>
      </c>
      <c r="H590" s="2" t="s">
        <v>36</v>
      </c>
      <c r="I590" s="2" t="s">
        <v>1602</v>
      </c>
      <c r="J590" s="3" t="str">
        <f>HYPERLINK("https://www.boe.es/gazeta/dias/1818/07/07/pdfs/GMD-1818-81.pdf#page=4","Abrir facsímil")</f>
        <v>Abrir facsímil</v>
      </c>
      <c r="K590" s="3" t="s">
        <v>38</v>
      </c>
    </row>
    <row r="591" spans="1:11" ht="42" customHeight="1">
      <c r="A591" s="2" t="s">
        <v>1603</v>
      </c>
      <c r="B591" s="2" t="s">
        <v>1603</v>
      </c>
      <c r="C591" s="2" t="s">
        <v>26</v>
      </c>
      <c r="D591" s="2" t="s">
        <v>27</v>
      </c>
      <c r="E591" s="5">
        <v>-29738</v>
      </c>
      <c r="F591" s="3" t="s">
        <v>263</v>
      </c>
      <c r="G591" s="3" t="s">
        <v>29</v>
      </c>
      <c r="H591" s="2" t="s">
        <v>36</v>
      </c>
      <c r="I591" s="2" t="s">
        <v>1604</v>
      </c>
      <c r="J591" s="3" t="str">
        <f>HYPERLINK("https://www.boe.es/gazeta/dias/1818/07/30/pdfs/GMD-1818-91.pdf#page=4","Abrir facsímil")</f>
        <v>Abrir facsímil</v>
      </c>
      <c r="K591" s="3" t="s">
        <v>38</v>
      </c>
    </row>
    <row r="592" spans="1:11" ht="42" customHeight="1">
      <c r="A592" s="2" t="s">
        <v>1605</v>
      </c>
      <c r="B592" s="2" t="s">
        <v>1605</v>
      </c>
      <c r="C592" s="2" t="s">
        <v>26</v>
      </c>
      <c r="D592" s="2" t="s">
        <v>27</v>
      </c>
      <c r="E592" s="5">
        <v>-29871</v>
      </c>
      <c r="F592" s="3" t="s">
        <v>641</v>
      </c>
      <c r="G592" s="3" t="s">
        <v>120</v>
      </c>
      <c r="H592" s="2" t="s">
        <v>36</v>
      </c>
      <c r="I592" s="2" t="s">
        <v>1606</v>
      </c>
      <c r="J592" s="3" t="str">
        <f>HYPERLINK("https://www.boe.es/gazeta/dias/1818/03/19/pdfs/GMD-1818-34.pdf#page=2","Abrir facsímil")</f>
        <v>Abrir facsímil</v>
      </c>
      <c r="K592" s="3" t="s">
        <v>38</v>
      </c>
    </row>
    <row r="593" spans="1:11" ht="42" customHeight="1">
      <c r="A593" s="2" t="s">
        <v>1607</v>
      </c>
      <c r="B593" s="2" t="s">
        <v>1608</v>
      </c>
      <c r="C593" s="2" t="s">
        <v>33</v>
      </c>
      <c r="D593" s="2" t="s">
        <v>18</v>
      </c>
      <c r="E593" s="5">
        <v>-29628</v>
      </c>
      <c r="F593" s="3" t="s">
        <v>58</v>
      </c>
      <c r="G593" s="3" t="s">
        <v>106</v>
      </c>
      <c r="H593" s="2" t="s">
        <v>36</v>
      </c>
      <c r="I593" s="2" t="s">
        <v>1609</v>
      </c>
      <c r="J593" s="3" t="str">
        <f>HYPERLINK("https://www.boe.es/gazeta/dias/1818/11/17/pdfs/GMD-1818-139.pdf#page=5","Abrir facsímil")</f>
        <v>Abrir facsímil</v>
      </c>
      <c r="K593" s="3" t="s">
        <v>38</v>
      </c>
    </row>
    <row r="594" spans="1:11" ht="42" customHeight="1">
      <c r="A594" s="2" t="s">
        <v>1610</v>
      </c>
      <c r="B594" s="2" t="s">
        <v>1611</v>
      </c>
      <c r="C594" s="2" t="s">
        <v>26</v>
      </c>
      <c r="D594" s="2" t="s">
        <v>27</v>
      </c>
      <c r="E594" s="5">
        <v>-29918</v>
      </c>
      <c r="F594" s="3" t="s">
        <v>89</v>
      </c>
      <c r="G594" s="3" t="s">
        <v>90</v>
      </c>
      <c r="H594" s="2" t="s">
        <v>36</v>
      </c>
      <c r="I594" s="2" t="s">
        <v>1612</v>
      </c>
      <c r="J594" s="3" t="str">
        <f>HYPERLINK("https://www.boe.es/gazeta/dias/1818/01/31/pdfs/GMD-1818-14.pdf#page=10","Abrir facsímil")</f>
        <v>Abrir facsímil</v>
      </c>
      <c r="K594" s="3" t="s">
        <v>38</v>
      </c>
    </row>
    <row r="595" spans="1:11" ht="42" customHeight="1">
      <c r="A595" s="2" t="s">
        <v>1613</v>
      </c>
      <c r="B595" s="2" t="s">
        <v>1614</v>
      </c>
      <c r="C595" s="2" t="s">
        <v>26</v>
      </c>
      <c r="D595" s="2" t="s">
        <v>27</v>
      </c>
      <c r="E595" s="5">
        <v>-29731</v>
      </c>
      <c r="F595" s="3" t="s">
        <v>299</v>
      </c>
      <c r="G595" s="3" t="s">
        <v>45</v>
      </c>
      <c r="H595" s="2" t="s">
        <v>36</v>
      </c>
      <c r="I595" s="2" t="s">
        <v>1615</v>
      </c>
      <c r="J595" s="3" t="str">
        <f>HYPERLINK("https://www.boe.es/gazeta/dias/1818/08/06/pdfs/GMD-1818-94.pdf#page=8","Abrir facsímil")</f>
        <v>Abrir facsímil</v>
      </c>
      <c r="K595" s="3" t="s">
        <v>38</v>
      </c>
    </row>
    <row r="596" spans="1:11" ht="42" customHeight="1">
      <c r="A596" s="2" t="s">
        <v>1616</v>
      </c>
      <c r="B596" s="2" t="s">
        <v>1617</v>
      </c>
      <c r="C596" s="2" t="s">
        <v>17</v>
      </c>
      <c r="D596" s="2" t="s">
        <v>18</v>
      </c>
      <c r="E596" s="5">
        <v>-29824</v>
      </c>
      <c r="F596" s="3" t="s">
        <v>101</v>
      </c>
      <c r="G596" s="3" t="s">
        <v>20</v>
      </c>
      <c r="H596" s="2" t="s">
        <v>36</v>
      </c>
      <c r="I596" s="2" t="s">
        <v>1618</v>
      </c>
      <c r="J596" s="3" t="str">
        <f>HYPERLINK("https://www.boe.es/gazeta/dias/1818/05/05/pdfs/GMD-1818-54.pdf#page=7","Abrir facsímil")</f>
        <v>Abrir facsímil</v>
      </c>
      <c r="K596" s="3" t="s">
        <v>38</v>
      </c>
    </row>
    <row r="597" spans="1:11" ht="42" customHeight="1">
      <c r="A597" s="2" t="s">
        <v>1619</v>
      </c>
      <c r="B597" s="2" t="s">
        <v>1620</v>
      </c>
      <c r="C597" s="2" t="s">
        <v>17</v>
      </c>
      <c r="D597" s="2" t="s">
        <v>18</v>
      </c>
      <c r="E597" s="5">
        <v>-29934</v>
      </c>
      <c r="F597" s="3" t="s">
        <v>53</v>
      </c>
      <c r="G597" s="3" t="s">
        <v>20</v>
      </c>
      <c r="H597" s="2" t="s">
        <v>21</v>
      </c>
      <c r="I597" s="2" t="s">
        <v>1621</v>
      </c>
      <c r="J597" s="3" t="str">
        <f>HYPERLINK("https://www.boe.es/gazeta/dias/1818/01/15/pdfs/GMD-1818-7.pdf#page=7","Abrir facsímil")</f>
        <v>Abrir facsímil</v>
      </c>
      <c r="K597" s="3" t="s">
        <v>23</v>
      </c>
    </row>
    <row r="598" spans="1:11" ht="42" customHeight="1">
      <c r="A598" s="2" t="s">
        <v>1622</v>
      </c>
      <c r="B598" s="2" t="s">
        <v>1622</v>
      </c>
      <c r="C598" s="2" t="s">
        <v>68</v>
      </c>
      <c r="D598" s="2" t="s">
        <v>69</v>
      </c>
      <c r="E598" s="5">
        <v>-29939</v>
      </c>
      <c r="F598" s="3" t="s">
        <v>110</v>
      </c>
      <c r="G598" s="3" t="s">
        <v>111</v>
      </c>
      <c r="H598" s="2" t="s">
        <v>36</v>
      </c>
      <c r="I598" s="2" t="s">
        <v>1623</v>
      </c>
      <c r="J598" s="3" t="str">
        <f>HYPERLINK("https://www.boe.es/gazeta/dias/1818/01/10/pdfs/GMD-1818-5.pdf#page=11","Abrir facsímil")</f>
        <v>Abrir facsímil</v>
      </c>
      <c r="K598" s="3" t="s">
        <v>38</v>
      </c>
    </row>
    <row r="599" spans="1:11" ht="42" customHeight="1">
      <c r="A599" s="2" t="s">
        <v>1624</v>
      </c>
      <c r="B599" s="2" t="s">
        <v>1624</v>
      </c>
      <c r="C599" s="2" t="s">
        <v>26</v>
      </c>
      <c r="D599" s="2" t="s">
        <v>27</v>
      </c>
      <c r="E599" s="5">
        <v>-29901</v>
      </c>
      <c r="F599" s="3" t="s">
        <v>417</v>
      </c>
      <c r="G599" s="3" t="s">
        <v>106</v>
      </c>
      <c r="H599" s="2" t="s">
        <v>36</v>
      </c>
      <c r="I599" s="2" t="s">
        <v>1625</v>
      </c>
      <c r="J599" s="3" t="str">
        <f>HYPERLINK("https://www.boe.es/gazeta/dias/1818/02/17/pdfs/GMD-1818-21.pdf#page=5","Abrir facsímil")</f>
        <v>Abrir facsímil</v>
      </c>
      <c r="K599" s="3" t="s">
        <v>38</v>
      </c>
    </row>
    <row r="600" spans="1:11" ht="42" customHeight="1">
      <c r="A600" s="2" t="s">
        <v>1624</v>
      </c>
      <c r="B600" s="2" t="s">
        <v>1624</v>
      </c>
      <c r="C600" s="2" t="s">
        <v>68</v>
      </c>
      <c r="D600" s="2" t="s">
        <v>69</v>
      </c>
      <c r="E600" s="5">
        <v>-29710</v>
      </c>
      <c r="F600" s="3" t="s">
        <v>1026</v>
      </c>
      <c r="G600" s="3" t="s">
        <v>1626</v>
      </c>
      <c r="H600" s="2" t="s">
        <v>36</v>
      </c>
      <c r="I600" s="2" t="s">
        <v>1627</v>
      </c>
      <c r="J600" s="3" t="str">
        <f>HYPERLINK("https://www.boe.es/gazeta/dias/1818/08/27/pdfs/GMD-1818-103.pdf#page=8","Abrir facsímil")</f>
        <v>Abrir facsímil</v>
      </c>
      <c r="K600" s="3" t="s">
        <v>38</v>
      </c>
    </row>
    <row r="601" spans="1:11" ht="42" customHeight="1">
      <c r="A601" s="2" t="s">
        <v>1624</v>
      </c>
      <c r="B601" s="2" t="s">
        <v>1624</v>
      </c>
      <c r="C601" s="2" t="s">
        <v>68</v>
      </c>
      <c r="D601" s="2" t="s">
        <v>69</v>
      </c>
      <c r="E601" s="5">
        <v>-29584</v>
      </c>
      <c r="F601" s="3" t="s">
        <v>1002</v>
      </c>
      <c r="G601" s="3" t="s">
        <v>20</v>
      </c>
      <c r="H601" s="2" t="s">
        <v>36</v>
      </c>
      <c r="I601" s="2" t="s">
        <v>1628</v>
      </c>
      <c r="J601" s="3" t="str">
        <f>HYPERLINK("https://www.boe.es/gazeta/dias/1818/12/31/pdfs/GMD-1818-159.pdf#page=7","Abrir facsímil")</f>
        <v>Abrir facsímil</v>
      </c>
      <c r="K601" s="3" t="s">
        <v>38</v>
      </c>
    </row>
    <row r="602" spans="1:11" ht="42" customHeight="1">
      <c r="A602" s="2" t="s">
        <v>1629</v>
      </c>
      <c r="B602" s="2" t="s">
        <v>1630</v>
      </c>
      <c r="C602" s="2" t="s">
        <v>17</v>
      </c>
      <c r="D602" s="2" t="s">
        <v>18</v>
      </c>
      <c r="E602" s="5">
        <v>-29673</v>
      </c>
      <c r="F602" s="3" t="s">
        <v>1099</v>
      </c>
      <c r="G602" s="3" t="s">
        <v>1631</v>
      </c>
      <c r="H602" s="2" t="s">
        <v>36</v>
      </c>
      <c r="I602" s="2" t="s">
        <v>1632</v>
      </c>
      <c r="J602" s="3" t="str">
        <f>HYPERLINK("https://www.boe.es/gazeta/dias/1818/10/03/pdfs/GMD-1818-119.pdf#page=1","Abrir facsímil")</f>
        <v>Abrir facsímil</v>
      </c>
      <c r="K602" s="3" t="s">
        <v>38</v>
      </c>
    </row>
    <row r="603" spans="1:11" ht="42" customHeight="1">
      <c r="A603" s="2" t="s">
        <v>1633</v>
      </c>
      <c r="B603" s="2" t="s">
        <v>1634</v>
      </c>
      <c r="C603" s="2" t="s">
        <v>17</v>
      </c>
      <c r="D603" s="2" t="s">
        <v>18</v>
      </c>
      <c r="E603" s="5">
        <v>-29934</v>
      </c>
      <c r="F603" s="3" t="s">
        <v>53</v>
      </c>
      <c r="G603" s="3" t="s">
        <v>20</v>
      </c>
      <c r="H603" s="2" t="s">
        <v>21</v>
      </c>
      <c r="I603" s="2" t="s">
        <v>1635</v>
      </c>
      <c r="J603" s="3" t="str">
        <f>HYPERLINK("https://www.boe.es/gazeta/dias/1818/01/15/pdfs/GMD-1818-7.pdf#page=7","Abrir facsímil")</f>
        <v>Abrir facsímil</v>
      </c>
      <c r="K603" s="3" t="s">
        <v>23</v>
      </c>
    </row>
    <row r="604" spans="1:11" ht="42" customHeight="1">
      <c r="A604" s="2" t="s">
        <v>1636</v>
      </c>
      <c r="B604" s="2" t="s">
        <v>1636</v>
      </c>
      <c r="C604" s="2" t="s">
        <v>68</v>
      </c>
      <c r="D604" s="2" t="s">
        <v>69</v>
      </c>
      <c r="E604" s="5">
        <v>-29719</v>
      </c>
      <c r="F604" s="3" t="s">
        <v>243</v>
      </c>
      <c r="G604" s="3" t="s">
        <v>85</v>
      </c>
      <c r="H604" s="2" t="s">
        <v>36</v>
      </c>
      <c r="I604" s="2" t="s">
        <v>1637</v>
      </c>
      <c r="J604" s="3" t="str">
        <f>HYPERLINK("https://www.boe.es/gazeta/dias/1818/08/18/pdfs/GMD-1818-99.pdf#page=3","Abrir facsímil")</f>
        <v>Abrir facsímil</v>
      </c>
      <c r="K604" s="3" t="s">
        <v>38</v>
      </c>
    </row>
    <row r="605" spans="1:11" ht="42" customHeight="1">
      <c r="A605" s="2" t="s">
        <v>1638</v>
      </c>
      <c r="B605" s="2" t="s">
        <v>1638</v>
      </c>
      <c r="C605" s="2" t="s">
        <v>26</v>
      </c>
      <c r="D605" s="2" t="s">
        <v>27</v>
      </c>
      <c r="E605" s="5">
        <v>-29822</v>
      </c>
      <c r="F605" s="3" t="s">
        <v>373</v>
      </c>
      <c r="G605" s="3" t="s">
        <v>85</v>
      </c>
      <c r="H605" s="2" t="s">
        <v>36</v>
      </c>
      <c r="I605" s="2" t="s">
        <v>1639</v>
      </c>
      <c r="J605" s="3" t="str">
        <f>HYPERLINK("https://www.boe.es/gazeta/dias/1818/05/07/pdfs/GMD-1818-55.pdf#page=3","Abrir facsímil")</f>
        <v>Abrir facsímil</v>
      </c>
      <c r="K605" s="3" t="s">
        <v>38</v>
      </c>
    </row>
    <row r="606" spans="1:11" ht="42" customHeight="1">
      <c r="A606" s="2" t="s">
        <v>1640</v>
      </c>
      <c r="B606" s="2" t="s">
        <v>1641</v>
      </c>
      <c r="C606" s="2" t="s">
        <v>68</v>
      </c>
      <c r="D606" s="2" t="s">
        <v>69</v>
      </c>
      <c r="E606" s="5">
        <v>-29771</v>
      </c>
      <c r="F606" s="3" t="s">
        <v>1260</v>
      </c>
      <c r="G606" s="3" t="s">
        <v>45</v>
      </c>
      <c r="H606" s="2" t="s">
        <v>36</v>
      </c>
      <c r="I606" s="2" t="s">
        <v>1642</v>
      </c>
      <c r="J606" s="3" t="str">
        <f>HYPERLINK("https://www.boe.es/gazeta/dias/1818/06/27/pdfs/GMD-1818-77.pdf#page=8","Abrir facsímil")</f>
        <v>Abrir facsímil</v>
      </c>
      <c r="K606" s="3" t="s">
        <v>38</v>
      </c>
    </row>
    <row r="607" spans="1:11" ht="42" customHeight="1">
      <c r="A607" s="2" t="s">
        <v>1643</v>
      </c>
      <c r="B607" s="2" t="s">
        <v>1643</v>
      </c>
      <c r="C607" s="2" t="s">
        <v>97</v>
      </c>
      <c r="D607" s="2" t="s">
        <v>18</v>
      </c>
      <c r="E607" s="5">
        <v>-29717</v>
      </c>
      <c r="F607" s="3" t="s">
        <v>1644</v>
      </c>
      <c r="G607" s="3" t="s">
        <v>1645</v>
      </c>
      <c r="H607" s="2" t="s">
        <v>36</v>
      </c>
      <c r="I607" s="2" t="s">
        <v>1646</v>
      </c>
      <c r="J607" s="3" t="str">
        <f>HYPERLINK("https://www.boe.es/gazeta/dias/1818/08/20/pdfs/GMD-1818-100.pdf#page=2","Abrir facsímil")</f>
        <v>Abrir facsímil</v>
      </c>
      <c r="K607" s="3" t="s">
        <v>38</v>
      </c>
    </row>
    <row r="608" spans="1:11" ht="42" customHeight="1">
      <c r="A608" s="2" t="s">
        <v>1647</v>
      </c>
      <c r="B608" s="2" t="s">
        <v>1647</v>
      </c>
      <c r="C608" s="2" t="s">
        <v>26</v>
      </c>
      <c r="D608" s="2" t="s">
        <v>27</v>
      </c>
      <c r="E608" s="5">
        <v>-29932</v>
      </c>
      <c r="F608" s="3" t="s">
        <v>34</v>
      </c>
      <c r="G608" s="3" t="s">
        <v>29</v>
      </c>
      <c r="H608" s="2" t="s">
        <v>36</v>
      </c>
      <c r="I608" s="2" t="s">
        <v>1648</v>
      </c>
      <c r="J608" s="3" t="str">
        <f>HYPERLINK("https://www.boe.es/gazeta/dias/1818/01/17/pdfs/GMD-1818-8.pdf#page=4","Abrir facsímil")</f>
        <v>Abrir facsímil</v>
      </c>
      <c r="K608" s="3" t="s">
        <v>38</v>
      </c>
    </row>
    <row r="609" spans="1:11" ht="42" customHeight="1">
      <c r="A609" s="2" t="s">
        <v>1649</v>
      </c>
      <c r="B609" s="2" t="s">
        <v>1649</v>
      </c>
      <c r="C609" s="2" t="s">
        <v>26</v>
      </c>
      <c r="D609" s="2" t="s">
        <v>27</v>
      </c>
      <c r="E609" s="5">
        <v>-29801</v>
      </c>
      <c r="F609" s="3" t="s">
        <v>288</v>
      </c>
      <c r="G609" s="3" t="s">
        <v>85</v>
      </c>
      <c r="H609" s="2" t="s">
        <v>36</v>
      </c>
      <c r="I609" s="2" t="s">
        <v>1650</v>
      </c>
      <c r="J609" s="3" t="str">
        <f>HYPERLINK("https://www.boe.es/gazeta/dias/1818/05/28/pdfs/GMD-1818-64.pdf#page=3","Abrir facsímil")</f>
        <v>Abrir facsímil</v>
      </c>
      <c r="K609" s="3" t="s">
        <v>38</v>
      </c>
    </row>
    <row r="610" spans="1:11" ht="42" customHeight="1">
      <c r="A610" s="2" t="s">
        <v>1651</v>
      </c>
      <c r="B610" s="2" t="s">
        <v>1651</v>
      </c>
      <c r="C610" s="2" t="s">
        <v>26</v>
      </c>
      <c r="D610" s="2" t="s">
        <v>27</v>
      </c>
      <c r="E610" s="5">
        <v>-29754</v>
      </c>
      <c r="F610" s="3" t="s">
        <v>466</v>
      </c>
      <c r="G610" s="3" t="s">
        <v>120</v>
      </c>
      <c r="H610" s="2" t="s">
        <v>36</v>
      </c>
      <c r="I610" s="2" t="s">
        <v>1652</v>
      </c>
      <c r="J610" s="3" t="str">
        <f>HYPERLINK("https://www.boe.es/gazeta/dias/1818/07/14/pdfs/GMD-1818-84.pdf#page=2","Abrir facsímil")</f>
        <v>Abrir facsímil</v>
      </c>
      <c r="K610" s="3" t="s">
        <v>38</v>
      </c>
    </row>
    <row r="611" spans="1:11" ht="42" customHeight="1">
      <c r="A611" s="2" t="s">
        <v>1653</v>
      </c>
      <c r="B611" s="2" t="s">
        <v>1653</v>
      </c>
      <c r="C611" s="2" t="s">
        <v>26</v>
      </c>
      <c r="D611" s="2" t="s">
        <v>27</v>
      </c>
      <c r="E611" s="5">
        <v>-29806</v>
      </c>
      <c r="F611" s="3" t="s">
        <v>84</v>
      </c>
      <c r="G611" s="3" t="s">
        <v>120</v>
      </c>
      <c r="H611" s="2" t="s">
        <v>36</v>
      </c>
      <c r="I611" s="2" t="s">
        <v>1654</v>
      </c>
      <c r="J611" s="3" t="str">
        <f>HYPERLINK("https://www.boe.es/gazeta/dias/1818/05/23/pdfs/GMD-1818-62.pdf#page=2","Abrir facsímil")</f>
        <v>Abrir facsímil</v>
      </c>
      <c r="K611" s="3" t="s">
        <v>38</v>
      </c>
    </row>
    <row r="612" spans="1:11" ht="42" customHeight="1">
      <c r="A612" s="2" t="s">
        <v>1655</v>
      </c>
      <c r="B612" s="2" t="s">
        <v>1655</v>
      </c>
      <c r="C612" s="2" t="s">
        <v>63</v>
      </c>
      <c r="D612" s="2" t="s">
        <v>18</v>
      </c>
      <c r="E612" s="5">
        <v>-29677</v>
      </c>
      <c r="F612" s="3" t="s">
        <v>157</v>
      </c>
      <c r="G612" s="3" t="s">
        <v>120</v>
      </c>
      <c r="H612" s="2" t="s">
        <v>36</v>
      </c>
      <c r="I612" s="2" t="s">
        <v>1656</v>
      </c>
      <c r="J612" s="3" t="str">
        <f>HYPERLINK("https://www.boe.es/gazeta/dias/1818/09/29/pdfs/GMD-1818-117.pdf#page=2","Abrir facsímil")</f>
        <v>Abrir facsímil</v>
      </c>
      <c r="K612" s="3" t="s">
        <v>38</v>
      </c>
    </row>
    <row r="613" spans="1:11" ht="42" customHeight="1">
      <c r="A613" s="2" t="s">
        <v>1657</v>
      </c>
      <c r="B613" s="2" t="s">
        <v>1658</v>
      </c>
      <c r="C613" s="2" t="s">
        <v>26</v>
      </c>
      <c r="D613" s="2" t="s">
        <v>668</v>
      </c>
      <c r="E613" s="5">
        <v>-29661</v>
      </c>
      <c r="F613" s="3" t="s">
        <v>669</v>
      </c>
      <c r="G613" s="3" t="s">
        <v>85</v>
      </c>
      <c r="H613" s="2" t="s">
        <v>36</v>
      </c>
      <c r="I613" s="2" t="s">
        <v>1659</v>
      </c>
      <c r="J613" s="3" t="str">
        <f>HYPERLINK("https://www.boe.es/gazeta/dias/1818/10/15/pdfs/GMD-1818-125E.pdf#page=3","Abrir facsímil")</f>
        <v>Abrir facsímil</v>
      </c>
      <c r="K613" s="3" t="s">
        <v>38</v>
      </c>
    </row>
    <row r="614" spans="1:11" ht="42" customHeight="1">
      <c r="A614" s="2" t="s">
        <v>1660</v>
      </c>
      <c r="B614" s="2" t="s">
        <v>1660</v>
      </c>
      <c r="C614" s="2" t="s">
        <v>26</v>
      </c>
      <c r="D614" s="2" t="s">
        <v>27</v>
      </c>
      <c r="E614" s="5">
        <v>-29708</v>
      </c>
      <c r="F614" s="3" t="s">
        <v>413</v>
      </c>
      <c r="G614" s="3" t="s">
        <v>29</v>
      </c>
      <c r="H614" s="2" t="s">
        <v>36</v>
      </c>
      <c r="I614" s="2" t="s">
        <v>1661</v>
      </c>
      <c r="J614" s="3" t="str">
        <f>HYPERLINK("https://www.boe.es/gazeta/dias/1818/08/29/pdfs/GMD-1818-104.pdf#page=4","Abrir facsímil")</f>
        <v>Abrir facsímil</v>
      </c>
      <c r="K614" s="3" t="s">
        <v>38</v>
      </c>
    </row>
    <row r="615" spans="1:11" ht="42" customHeight="1">
      <c r="A615" s="2" t="s">
        <v>1662</v>
      </c>
      <c r="B615" s="2" t="s">
        <v>1663</v>
      </c>
      <c r="C615" s="2" t="s">
        <v>17</v>
      </c>
      <c r="D615" s="2" t="s">
        <v>18</v>
      </c>
      <c r="E615" s="5">
        <v>-29752</v>
      </c>
      <c r="F615" s="3" t="s">
        <v>165</v>
      </c>
      <c r="G615" s="3" t="s">
        <v>59</v>
      </c>
      <c r="H615" s="2" t="s">
        <v>36</v>
      </c>
      <c r="I615" s="2" t="s">
        <v>1664</v>
      </c>
      <c r="J615" s="3" t="str">
        <f>HYPERLINK("https://www.boe.es/gazeta/dias/1818/07/16/pdfs/GMD-1818-85.pdf#page=6","Abrir facsímil")</f>
        <v>Abrir facsímil</v>
      </c>
      <c r="K615" s="3" t="s">
        <v>38</v>
      </c>
    </row>
    <row r="616" spans="1:11" ht="42" customHeight="1">
      <c r="A616" s="2" t="s">
        <v>1665</v>
      </c>
      <c r="B616" s="2" t="s">
        <v>1666</v>
      </c>
      <c r="C616" s="2" t="s">
        <v>26</v>
      </c>
      <c r="D616" s="2" t="s">
        <v>27</v>
      </c>
      <c r="E616" s="5">
        <v>-29647</v>
      </c>
      <c r="F616" s="3" t="s">
        <v>1547</v>
      </c>
      <c r="G616" s="3" t="s">
        <v>59</v>
      </c>
      <c r="H616" s="2" t="s">
        <v>36</v>
      </c>
      <c r="I616" s="2" t="s">
        <v>1667</v>
      </c>
      <c r="J616" s="3" t="str">
        <f>HYPERLINK("https://www.boe.es/gazeta/dias/1818/10/29/pdfs/GMD-1818-131.pdf#page=6","Abrir facsímil")</f>
        <v>Abrir facsímil</v>
      </c>
      <c r="K616" s="3" t="s">
        <v>38</v>
      </c>
    </row>
    <row r="617" spans="1:11" ht="42" customHeight="1">
      <c r="A617" s="2" t="s">
        <v>1668</v>
      </c>
      <c r="B617" s="2" t="s">
        <v>1668</v>
      </c>
      <c r="C617" s="2" t="s">
        <v>26</v>
      </c>
      <c r="D617" s="2" t="s">
        <v>27</v>
      </c>
      <c r="E617" s="5">
        <v>-29719</v>
      </c>
      <c r="F617" s="3" t="s">
        <v>243</v>
      </c>
      <c r="G617" s="3" t="s">
        <v>244</v>
      </c>
      <c r="H617" s="2" t="s">
        <v>36</v>
      </c>
      <c r="I617" s="2" t="s">
        <v>1669</v>
      </c>
      <c r="J617" s="3" t="str">
        <f>HYPERLINK("https://www.boe.es/gazeta/dias/1818/08/18/pdfs/GMD-1818-99.pdf#page=5","Abrir facsímil")</f>
        <v>Abrir facsímil</v>
      </c>
      <c r="K617" s="3" t="s">
        <v>38</v>
      </c>
    </row>
    <row r="618" spans="1:11" ht="42" customHeight="1">
      <c r="A618" s="2" t="s">
        <v>1668</v>
      </c>
      <c r="B618" s="2" t="s">
        <v>1668</v>
      </c>
      <c r="C618" s="2" t="s">
        <v>26</v>
      </c>
      <c r="D618" s="2" t="s">
        <v>27</v>
      </c>
      <c r="E618" s="5">
        <v>-29719</v>
      </c>
      <c r="F618" s="3" t="s">
        <v>243</v>
      </c>
      <c r="G618" s="3" t="s">
        <v>59</v>
      </c>
      <c r="H618" s="2" t="s">
        <v>36</v>
      </c>
      <c r="I618" s="2" t="s">
        <v>1670</v>
      </c>
      <c r="J618" s="3" t="str">
        <f>HYPERLINK("https://www.boe.es/gazeta/dias/1818/08/18/pdfs/GMD-1818-99.pdf#page=6","Abrir facsímil")</f>
        <v>Abrir facsímil</v>
      </c>
      <c r="K618" s="3" t="s">
        <v>38</v>
      </c>
    </row>
    <row r="619" spans="1:11" ht="42" customHeight="1">
      <c r="A619" s="2" t="s">
        <v>1671</v>
      </c>
      <c r="B619" s="2" t="s">
        <v>1672</v>
      </c>
      <c r="C619" s="2" t="s">
        <v>17</v>
      </c>
      <c r="D619" s="2" t="s">
        <v>18</v>
      </c>
      <c r="E619" s="5">
        <v>-29631</v>
      </c>
      <c r="F619" s="3" t="s">
        <v>743</v>
      </c>
      <c r="G619" s="3" t="s">
        <v>59</v>
      </c>
      <c r="H619" s="2" t="s">
        <v>36</v>
      </c>
      <c r="I619" s="2" t="s">
        <v>1673</v>
      </c>
      <c r="J619" s="3" t="str">
        <f>HYPERLINK("https://www.boe.es/gazeta/dias/1818/11/14/pdfs/GMD-1818-138.pdf#page=6","Abrir facsímil")</f>
        <v>Abrir facsímil</v>
      </c>
      <c r="K619" s="3" t="s">
        <v>38</v>
      </c>
    </row>
    <row r="620" spans="1:11" ht="42" customHeight="1">
      <c r="A620" s="2" t="s">
        <v>1674</v>
      </c>
      <c r="B620" s="2" t="s">
        <v>1675</v>
      </c>
      <c r="C620" s="2" t="s">
        <v>63</v>
      </c>
      <c r="D620" s="2" t="s">
        <v>18</v>
      </c>
      <c r="E620" s="5">
        <v>-29836</v>
      </c>
      <c r="F620" s="3" t="s">
        <v>119</v>
      </c>
      <c r="G620" s="3" t="s">
        <v>45</v>
      </c>
      <c r="H620" s="2" t="s">
        <v>36</v>
      </c>
      <c r="I620" s="2" t="s">
        <v>1676</v>
      </c>
      <c r="J620" s="3" t="str">
        <f>HYPERLINK("https://www.boe.es/gazeta/dias/1818/04/23/pdfs/GMD-1818-49.pdf#page=8","Abrir facsímil")</f>
        <v>Abrir facsímil</v>
      </c>
      <c r="K620" s="3" t="s">
        <v>38</v>
      </c>
    </row>
    <row r="621" spans="1:11" ht="42" customHeight="1">
      <c r="A621" s="2" t="s">
        <v>1677</v>
      </c>
      <c r="B621" s="2" t="s">
        <v>1678</v>
      </c>
      <c r="C621" s="2" t="s">
        <v>26</v>
      </c>
      <c r="D621" s="2" t="s">
        <v>27</v>
      </c>
      <c r="E621" s="5">
        <v>-29904</v>
      </c>
      <c r="F621" s="3" t="s">
        <v>451</v>
      </c>
      <c r="G621" s="3" t="s">
        <v>20</v>
      </c>
      <c r="H621" s="2" t="s">
        <v>21</v>
      </c>
      <c r="I621" s="2" t="s">
        <v>1679</v>
      </c>
      <c r="J621" s="3" t="str">
        <f>HYPERLINK("https://www.boe.es/gazeta/dias/1818/02/14/pdfs/GMD-1818-20.pdf#page=7","Abrir facsímil")</f>
        <v>Abrir facsímil</v>
      </c>
      <c r="K621" s="3" t="s">
        <v>23</v>
      </c>
    </row>
    <row r="622" spans="1:11" ht="42" customHeight="1">
      <c r="A622" s="2" t="s">
        <v>1680</v>
      </c>
      <c r="B622" s="2" t="s">
        <v>1681</v>
      </c>
      <c r="C622" s="2" t="s">
        <v>26</v>
      </c>
      <c r="D622" s="2" t="s">
        <v>27</v>
      </c>
      <c r="E622" s="5">
        <v>-29722</v>
      </c>
      <c r="F622" s="3" t="s">
        <v>1127</v>
      </c>
      <c r="G622" s="3" t="s">
        <v>45</v>
      </c>
      <c r="H622" s="2" t="s">
        <v>36</v>
      </c>
      <c r="I622" s="2" t="s">
        <v>1682</v>
      </c>
      <c r="J622" s="3" t="str">
        <f>HYPERLINK("https://www.boe.es/gazeta/dias/1818/08/15/pdfs/GMD-1818-98.pdf#page=8","Abrir facsímil")</f>
        <v>Abrir facsímil</v>
      </c>
      <c r="K622" s="3" t="s">
        <v>38</v>
      </c>
    </row>
    <row r="623" spans="1:11" ht="42" customHeight="1">
      <c r="A623" s="2" t="s">
        <v>1683</v>
      </c>
      <c r="B623" s="2" t="s">
        <v>1684</v>
      </c>
      <c r="C623" s="2" t="s">
        <v>26</v>
      </c>
      <c r="D623" s="2" t="s">
        <v>27</v>
      </c>
      <c r="E623" s="5">
        <v>-29656</v>
      </c>
      <c r="F623" s="3" t="s">
        <v>601</v>
      </c>
      <c r="G623" s="3" t="s">
        <v>29</v>
      </c>
      <c r="H623" s="2" t="s">
        <v>36</v>
      </c>
      <c r="I623" s="2" t="s">
        <v>1685</v>
      </c>
      <c r="J623" s="3" t="str">
        <f>HYPERLINK("https://www.boe.es/gazeta/dias/1818/10/20/pdfs/GMD-1818-127.pdf#page=4","Abrir facsímil")</f>
        <v>Abrir facsímil</v>
      </c>
      <c r="K623" s="3" t="s">
        <v>38</v>
      </c>
    </row>
    <row r="624" spans="1:11" ht="42" customHeight="1">
      <c r="A624" s="2" t="s">
        <v>1686</v>
      </c>
      <c r="B624" s="2" t="s">
        <v>1687</v>
      </c>
      <c r="C624" s="2" t="s">
        <v>63</v>
      </c>
      <c r="D624" s="2" t="s">
        <v>18</v>
      </c>
      <c r="E624" s="5">
        <v>-29810</v>
      </c>
      <c r="F624" s="3" t="s">
        <v>222</v>
      </c>
      <c r="G624" s="3" t="s">
        <v>45</v>
      </c>
      <c r="H624" s="2" t="s">
        <v>21</v>
      </c>
      <c r="I624" s="2" t="s">
        <v>1688</v>
      </c>
      <c r="J624" s="3" t="str">
        <f>HYPERLINK("https://www.boe.es/gazeta/dias/1818/05/19/pdfs/GMD-1818-60.pdf#page=8","Abrir facsímil")</f>
        <v>Abrir facsímil</v>
      </c>
      <c r="K624" s="3" t="s">
        <v>23</v>
      </c>
    </row>
    <row r="625" spans="1:11" ht="42" customHeight="1">
      <c r="A625" s="2" t="s">
        <v>1686</v>
      </c>
      <c r="B625" s="2" t="s">
        <v>1687</v>
      </c>
      <c r="C625" s="2" t="s">
        <v>63</v>
      </c>
      <c r="D625" s="2" t="s">
        <v>18</v>
      </c>
      <c r="E625" s="5">
        <v>-29731</v>
      </c>
      <c r="F625" s="3" t="s">
        <v>299</v>
      </c>
      <c r="G625" s="3" t="s">
        <v>45</v>
      </c>
      <c r="H625" s="2" t="s">
        <v>21</v>
      </c>
      <c r="I625" s="2" t="s">
        <v>1689</v>
      </c>
      <c r="J625" s="3" t="str">
        <f>HYPERLINK("https://www.boe.es/gazeta/dias/1818/08/06/pdfs/GMD-1818-94.pdf#page=8","Abrir facsímil")</f>
        <v>Abrir facsímil</v>
      </c>
      <c r="K625" s="3" t="s">
        <v>23</v>
      </c>
    </row>
    <row r="626" spans="1:11" ht="42" customHeight="1">
      <c r="A626" s="2" t="s">
        <v>1686</v>
      </c>
      <c r="B626" s="2" t="s">
        <v>1687</v>
      </c>
      <c r="C626" s="2" t="s">
        <v>63</v>
      </c>
      <c r="D626" s="2" t="s">
        <v>18</v>
      </c>
      <c r="E626" s="5">
        <v>-29659</v>
      </c>
      <c r="F626" s="3" t="s">
        <v>1690</v>
      </c>
      <c r="G626" s="3" t="s">
        <v>1691</v>
      </c>
      <c r="H626" s="2" t="s">
        <v>21</v>
      </c>
      <c r="I626" s="2" t="s">
        <v>1692</v>
      </c>
      <c r="J626" s="3" t="str">
        <f>HYPERLINK("https://www.boe.es/gazeta/dias/1818/10/17/pdfs/GMD-1818-126.pdf#page=8","Abrir facsímil")</f>
        <v>Abrir facsímil</v>
      </c>
      <c r="K626" s="3" t="s">
        <v>23</v>
      </c>
    </row>
    <row r="627" spans="1:11" ht="42" customHeight="1">
      <c r="A627" s="2" t="s">
        <v>1686</v>
      </c>
      <c r="B627" s="2" t="s">
        <v>1687</v>
      </c>
      <c r="C627" s="2" t="s">
        <v>57</v>
      </c>
      <c r="D627" s="2" t="s">
        <v>18</v>
      </c>
      <c r="E627" s="5">
        <v>-29656</v>
      </c>
      <c r="F627" s="3" t="s">
        <v>601</v>
      </c>
      <c r="G627" s="3" t="s">
        <v>45</v>
      </c>
      <c r="H627" s="2" t="s">
        <v>21</v>
      </c>
      <c r="I627" s="2" t="s">
        <v>1693</v>
      </c>
      <c r="J627" s="3" t="str">
        <f>HYPERLINK("https://www.boe.es/gazeta/dias/1818/10/20/pdfs/GMD-1818-127.pdf#page=8","Abrir facsímil")</f>
        <v>Abrir facsímil</v>
      </c>
      <c r="K627" s="3" t="s">
        <v>23</v>
      </c>
    </row>
    <row r="628" spans="1:11" ht="42" customHeight="1">
      <c r="A628" s="2" t="s">
        <v>1686</v>
      </c>
      <c r="B628" s="2" t="s">
        <v>1687</v>
      </c>
      <c r="C628" s="2" t="s">
        <v>57</v>
      </c>
      <c r="D628" s="2" t="s">
        <v>18</v>
      </c>
      <c r="E628" s="5">
        <v>-29619</v>
      </c>
      <c r="F628" s="3" t="s">
        <v>64</v>
      </c>
      <c r="G628" s="3" t="s">
        <v>45</v>
      </c>
      <c r="H628" s="2" t="s">
        <v>21</v>
      </c>
      <c r="I628" s="2" t="s">
        <v>1694</v>
      </c>
      <c r="J628" s="3" t="str">
        <f>HYPERLINK("https://www.boe.es/gazeta/dias/1818/11/26/pdfs/GMD-1818-143.pdf#page=8","Abrir facsímil")</f>
        <v>Abrir facsímil</v>
      </c>
      <c r="K628" s="3" t="s">
        <v>23</v>
      </c>
    </row>
    <row r="629" spans="1:11" ht="42" customHeight="1">
      <c r="A629" s="2" t="s">
        <v>1686</v>
      </c>
      <c r="B629" s="2" t="s">
        <v>1687</v>
      </c>
      <c r="C629" s="2" t="s">
        <v>57</v>
      </c>
      <c r="D629" s="2" t="s">
        <v>18</v>
      </c>
      <c r="E629" s="5">
        <v>-29586</v>
      </c>
      <c r="F629" s="3" t="s">
        <v>683</v>
      </c>
      <c r="G629" s="3" t="s">
        <v>45</v>
      </c>
      <c r="H629" s="2" t="s">
        <v>21</v>
      </c>
      <c r="I629" s="2" t="s">
        <v>1695</v>
      </c>
      <c r="J629" s="3" t="str">
        <f>HYPERLINK("https://www.boe.es/gazeta/dias/1818/12/29/pdfs/GMD-1818-158.pdf#page=8","Abrir facsímil")</f>
        <v>Abrir facsímil</v>
      </c>
      <c r="K629" s="3" t="s">
        <v>23</v>
      </c>
    </row>
    <row r="630" spans="1:11" ht="42" customHeight="1">
      <c r="A630" s="2" t="s">
        <v>1696</v>
      </c>
      <c r="B630" s="2" t="s">
        <v>1697</v>
      </c>
      <c r="C630" s="2" t="s">
        <v>17</v>
      </c>
      <c r="D630" s="2" t="s">
        <v>18</v>
      </c>
      <c r="E630" s="5">
        <v>-29698</v>
      </c>
      <c r="F630" s="3" t="s">
        <v>148</v>
      </c>
      <c r="G630" s="3" t="s">
        <v>106</v>
      </c>
      <c r="H630" s="2" t="s">
        <v>36</v>
      </c>
      <c r="I630" s="2" t="s">
        <v>1698</v>
      </c>
      <c r="J630" s="3" t="str">
        <f>HYPERLINK("https://www.boe.es/gazeta/dias/1818/09/08/pdfs/GMD-1818-108.pdf#page=5","Abrir facsímil")</f>
        <v>Abrir facsímil</v>
      </c>
      <c r="K630" s="3" t="s">
        <v>38</v>
      </c>
    </row>
    <row r="631" spans="1:11" ht="42" customHeight="1">
      <c r="A631" s="2" t="s">
        <v>1699</v>
      </c>
      <c r="B631" s="2" t="s">
        <v>1699</v>
      </c>
      <c r="C631" s="2" t="s">
        <v>68</v>
      </c>
      <c r="D631" s="2" t="s">
        <v>69</v>
      </c>
      <c r="E631" s="5">
        <v>-29589</v>
      </c>
      <c r="F631" s="3" t="s">
        <v>210</v>
      </c>
      <c r="G631" s="3" t="s">
        <v>49</v>
      </c>
      <c r="H631" s="2" t="s">
        <v>36</v>
      </c>
      <c r="I631" s="2" t="s">
        <v>1700</v>
      </c>
      <c r="J631" s="3" t="str">
        <f>HYPERLINK("https://www.boe.es/gazeta/dias/1818/12/26/pdfs/GMD-1818-156.pdf#page=1","Abrir facsímil")</f>
        <v>Abrir facsímil</v>
      </c>
      <c r="K631" s="3" t="s">
        <v>38</v>
      </c>
    </row>
    <row r="632" spans="1:11" ht="42" customHeight="1">
      <c r="A632" s="2" t="s">
        <v>1701</v>
      </c>
      <c r="B632" s="2" t="s">
        <v>1701</v>
      </c>
      <c r="C632" s="2" t="s">
        <v>17</v>
      </c>
      <c r="D632" s="2" t="s">
        <v>18</v>
      </c>
      <c r="E632" s="5">
        <v>-29887</v>
      </c>
      <c r="F632" s="3" t="s">
        <v>613</v>
      </c>
      <c r="G632" s="3" t="s">
        <v>120</v>
      </c>
      <c r="H632" s="2" t="s">
        <v>36</v>
      </c>
      <c r="I632" s="2" t="s">
        <v>1702</v>
      </c>
      <c r="J632" s="3" t="str">
        <f>HYPERLINK("https://www.boe.es/gazeta/dias/1818/03/03/pdfs/GMD-1818-27.pdf#page=2","Abrir facsímil")</f>
        <v>Abrir facsímil</v>
      </c>
      <c r="K632" s="3" t="s">
        <v>38</v>
      </c>
    </row>
    <row r="633" spans="1:11" ht="42" customHeight="1">
      <c r="A633" s="2" t="s">
        <v>1703</v>
      </c>
      <c r="B633" s="2" t="s">
        <v>1703</v>
      </c>
      <c r="C633" s="2" t="s">
        <v>17</v>
      </c>
      <c r="D633" s="2" t="s">
        <v>18</v>
      </c>
      <c r="E633" s="5">
        <v>-29887</v>
      </c>
      <c r="F633" s="3" t="s">
        <v>613</v>
      </c>
      <c r="G633" s="3" t="s">
        <v>120</v>
      </c>
      <c r="H633" s="2" t="s">
        <v>36</v>
      </c>
      <c r="I633" s="2" t="s">
        <v>1704</v>
      </c>
      <c r="J633" s="3" t="str">
        <f>HYPERLINK("https://www.boe.es/gazeta/dias/1818/03/03/pdfs/GMD-1818-27.pdf#page=2","Abrir facsímil")</f>
        <v>Abrir facsímil</v>
      </c>
      <c r="K633" s="3" t="s">
        <v>38</v>
      </c>
    </row>
    <row r="634" spans="1:11" ht="42" customHeight="1">
      <c r="A634" s="2" t="s">
        <v>1705</v>
      </c>
      <c r="B634" s="2" t="s">
        <v>1705</v>
      </c>
      <c r="C634" s="2" t="s">
        <v>26</v>
      </c>
      <c r="D634" s="2" t="s">
        <v>27</v>
      </c>
      <c r="E634" s="5">
        <v>-29806</v>
      </c>
      <c r="F634" s="3" t="s">
        <v>84</v>
      </c>
      <c r="G634" s="3" t="s">
        <v>85</v>
      </c>
      <c r="H634" s="2" t="s">
        <v>36</v>
      </c>
      <c r="I634" s="2" t="s">
        <v>1706</v>
      </c>
      <c r="J634" s="3" t="str">
        <f>HYPERLINK("https://www.boe.es/gazeta/dias/1818/05/23/pdfs/GMD-1818-62.pdf#page=3","Abrir facsímil")</f>
        <v>Abrir facsímil</v>
      </c>
      <c r="K634" s="3" t="s">
        <v>38</v>
      </c>
    </row>
    <row r="635" spans="1:11" ht="42" customHeight="1">
      <c r="A635" s="2" t="s">
        <v>1707</v>
      </c>
      <c r="B635" s="2" t="s">
        <v>1708</v>
      </c>
      <c r="C635" s="2" t="s">
        <v>26</v>
      </c>
      <c r="D635" s="2" t="s">
        <v>27</v>
      </c>
      <c r="E635" s="5">
        <v>-29750</v>
      </c>
      <c r="F635" s="3" t="s">
        <v>384</v>
      </c>
      <c r="G635" s="3" t="s">
        <v>29</v>
      </c>
      <c r="H635" s="2" t="s">
        <v>36</v>
      </c>
      <c r="I635" s="2" t="s">
        <v>1709</v>
      </c>
      <c r="J635" s="3" t="str">
        <f>HYPERLINK("https://www.boe.es/gazeta/dias/1818/07/18/pdfs/GMD-1818-86.pdf#page=4","Abrir facsímil")</f>
        <v>Abrir facsímil</v>
      </c>
      <c r="K635" s="3" t="s">
        <v>38</v>
      </c>
    </row>
    <row r="636" spans="1:11" ht="42" customHeight="1">
      <c r="A636" s="2" t="s">
        <v>1707</v>
      </c>
      <c r="B636" s="2" t="s">
        <v>1708</v>
      </c>
      <c r="C636" s="2" t="s">
        <v>26</v>
      </c>
      <c r="D636" s="2" t="s">
        <v>27</v>
      </c>
      <c r="E636" s="5">
        <v>-29684</v>
      </c>
      <c r="F636" s="3" t="s">
        <v>311</v>
      </c>
      <c r="G636" s="3" t="s">
        <v>106</v>
      </c>
      <c r="H636" s="2" t="s">
        <v>36</v>
      </c>
      <c r="I636" s="2" t="s">
        <v>1710</v>
      </c>
      <c r="J636" s="3" t="str">
        <f>HYPERLINK("https://www.boe.es/gazeta/dias/1818/09/22/pdfs/GMD-1818-114.pdf#page=5","Abrir facsímil")</f>
        <v>Abrir facsímil</v>
      </c>
      <c r="K636" s="3" t="s">
        <v>38</v>
      </c>
    </row>
    <row r="637" spans="1:11" ht="42" customHeight="1">
      <c r="A637" s="2" t="s">
        <v>1711</v>
      </c>
      <c r="B637" s="2" t="s">
        <v>1712</v>
      </c>
      <c r="C637" s="2" t="s">
        <v>26</v>
      </c>
      <c r="D637" s="2" t="s">
        <v>27</v>
      </c>
      <c r="E637" s="5">
        <v>-29876</v>
      </c>
      <c r="F637" s="3" t="s">
        <v>338</v>
      </c>
      <c r="G637" s="3" t="s">
        <v>29</v>
      </c>
      <c r="H637" s="2" t="s">
        <v>36</v>
      </c>
      <c r="I637" s="2" t="s">
        <v>1713</v>
      </c>
      <c r="J637" s="3" t="str">
        <f>HYPERLINK("https://www.boe.es/gazeta/dias/1818/03/14/pdfs/GMD-1818-32.pdf#page=4","Abrir facsímil")</f>
        <v>Abrir facsímil</v>
      </c>
      <c r="K637" s="3" t="s">
        <v>38</v>
      </c>
    </row>
    <row r="638" spans="1:11" ht="42" customHeight="1">
      <c r="A638" s="2" t="s">
        <v>1714</v>
      </c>
      <c r="B638" s="2" t="s">
        <v>1714</v>
      </c>
      <c r="C638" s="2" t="s">
        <v>26</v>
      </c>
      <c r="D638" s="2" t="s">
        <v>27</v>
      </c>
      <c r="E638" s="5">
        <v>-29750</v>
      </c>
      <c r="F638" s="3" t="s">
        <v>384</v>
      </c>
      <c r="G638" s="3" t="s">
        <v>120</v>
      </c>
      <c r="H638" s="2" t="s">
        <v>36</v>
      </c>
      <c r="I638" s="2" t="s">
        <v>1715</v>
      </c>
      <c r="J638" s="3" t="str">
        <f>HYPERLINK("https://www.boe.es/gazeta/dias/1818/07/18/pdfs/GMD-1818-86.pdf#page=2","Abrir facsímil")</f>
        <v>Abrir facsímil</v>
      </c>
      <c r="K638" s="3" t="s">
        <v>38</v>
      </c>
    </row>
    <row r="639" spans="1:11" ht="42" customHeight="1">
      <c r="A639" s="2" t="s">
        <v>1714</v>
      </c>
      <c r="B639" s="2" t="s">
        <v>1714</v>
      </c>
      <c r="C639" s="2" t="s">
        <v>26</v>
      </c>
      <c r="D639" s="2" t="s">
        <v>27</v>
      </c>
      <c r="E639" s="5">
        <v>-29696</v>
      </c>
      <c r="F639" s="3" t="s">
        <v>1716</v>
      </c>
      <c r="G639" s="3" t="s">
        <v>120</v>
      </c>
      <c r="H639" s="2" t="s">
        <v>36</v>
      </c>
      <c r="I639" s="2" t="s">
        <v>1717</v>
      </c>
      <c r="J639" s="3" t="str">
        <f>HYPERLINK("https://www.boe.es/gazeta/dias/1818/09/10/pdfs/GMD-1818-109.pdf#page=2","Abrir facsímil")</f>
        <v>Abrir facsímil</v>
      </c>
      <c r="K639" s="3" t="s">
        <v>38</v>
      </c>
    </row>
    <row r="640" spans="1:11" ht="42" customHeight="1">
      <c r="A640" s="2" t="s">
        <v>1714</v>
      </c>
      <c r="B640" s="2" t="s">
        <v>1714</v>
      </c>
      <c r="C640" s="2" t="s">
        <v>17</v>
      </c>
      <c r="D640" s="2" t="s">
        <v>18</v>
      </c>
      <c r="E640" s="5">
        <v>-29684</v>
      </c>
      <c r="F640" s="3" t="s">
        <v>311</v>
      </c>
      <c r="G640" s="3" t="s">
        <v>85</v>
      </c>
      <c r="H640" s="2" t="s">
        <v>36</v>
      </c>
      <c r="I640" s="2" t="s">
        <v>1718</v>
      </c>
      <c r="J640" s="3" t="str">
        <f>HYPERLINK("https://www.boe.es/gazeta/dias/1818/09/22/pdfs/GMD-1818-114.pdf#page=3","Abrir facsímil")</f>
        <v>Abrir facsímil</v>
      </c>
      <c r="K640" s="3" t="s">
        <v>38</v>
      </c>
    </row>
    <row r="641" spans="1:11" ht="42" customHeight="1">
      <c r="A641" s="2" t="s">
        <v>1714</v>
      </c>
      <c r="B641" s="2" t="s">
        <v>1714</v>
      </c>
      <c r="C641" s="2" t="s">
        <v>26</v>
      </c>
      <c r="D641" s="2" t="s">
        <v>27</v>
      </c>
      <c r="E641" s="5">
        <v>-29682</v>
      </c>
      <c r="F641" s="3" t="s">
        <v>170</v>
      </c>
      <c r="G641" s="3" t="s">
        <v>49</v>
      </c>
      <c r="H641" s="2" t="s">
        <v>36</v>
      </c>
      <c r="I641" s="2" t="s">
        <v>1719</v>
      </c>
      <c r="J641" s="3" t="str">
        <f>HYPERLINK("https://www.boe.es/gazeta/dias/1818/09/24/pdfs/GMD-1818-115.pdf#page=1","Abrir facsímil")</f>
        <v>Abrir facsímil</v>
      </c>
      <c r="K641" s="3" t="s">
        <v>38</v>
      </c>
    </row>
    <row r="642" spans="1:11" ht="42" customHeight="1">
      <c r="A642" s="2" t="s">
        <v>1714</v>
      </c>
      <c r="B642" s="2" t="s">
        <v>1714</v>
      </c>
      <c r="C642" s="2" t="s">
        <v>26</v>
      </c>
      <c r="D642" s="2" t="s">
        <v>27</v>
      </c>
      <c r="E642" s="5">
        <v>-29673</v>
      </c>
      <c r="F642" s="3" t="s">
        <v>1099</v>
      </c>
      <c r="G642" s="3" t="s">
        <v>120</v>
      </c>
      <c r="H642" s="2" t="s">
        <v>36</v>
      </c>
      <c r="I642" s="2" t="s">
        <v>1720</v>
      </c>
      <c r="J642" s="3" t="str">
        <f>HYPERLINK("https://www.boe.es/gazeta/dias/1818/10/03/pdfs/GMD-1818-119.pdf#page=2","Abrir facsímil")</f>
        <v>Abrir facsímil</v>
      </c>
      <c r="K642" s="3" t="s">
        <v>38</v>
      </c>
    </row>
    <row r="643" spans="1:11" ht="42" customHeight="1">
      <c r="A643" s="2" t="s">
        <v>1721</v>
      </c>
      <c r="B643" s="2" t="s">
        <v>1722</v>
      </c>
      <c r="C643" s="2" t="s">
        <v>68</v>
      </c>
      <c r="D643" s="2" t="s">
        <v>69</v>
      </c>
      <c r="E643" s="5">
        <v>-29920</v>
      </c>
      <c r="F643" s="3" t="s">
        <v>201</v>
      </c>
      <c r="G643" s="3" t="s">
        <v>71</v>
      </c>
      <c r="H643" s="2" t="s">
        <v>36</v>
      </c>
      <c r="I643" s="2" t="s">
        <v>1723</v>
      </c>
      <c r="J643" s="3" t="str">
        <f>HYPERLINK("https://www.boe.es/gazeta/dias/1818/01/29/pdfs/GMD-1818-13.pdf#page=16","Abrir facsímil")</f>
        <v>Abrir facsímil</v>
      </c>
      <c r="K643" s="3" t="s">
        <v>38</v>
      </c>
    </row>
    <row r="644" spans="1:11" ht="42" customHeight="1">
      <c r="A644" s="2" t="s">
        <v>1724</v>
      </c>
      <c r="B644" s="2" t="s">
        <v>1725</v>
      </c>
      <c r="C644" s="2" t="s">
        <v>26</v>
      </c>
      <c r="D644" s="2" t="s">
        <v>27</v>
      </c>
      <c r="E644" s="5">
        <v>-29857</v>
      </c>
      <c r="F644" s="3" t="s">
        <v>831</v>
      </c>
      <c r="G644" s="3" t="s">
        <v>20</v>
      </c>
      <c r="H644" s="2" t="s">
        <v>36</v>
      </c>
      <c r="I644" s="2" t="s">
        <v>1726</v>
      </c>
      <c r="J644" s="3" t="str">
        <f>HYPERLINK("https://www.boe.es/gazeta/dias/1818/04/02/pdfs/GMD-1818-40.pdf#page=7","Abrir facsímil")</f>
        <v>Abrir facsímil</v>
      </c>
      <c r="K644" s="3" t="s">
        <v>38</v>
      </c>
    </row>
    <row r="645" spans="1:11" ht="42" customHeight="1">
      <c r="A645" s="2" t="s">
        <v>1727</v>
      </c>
      <c r="B645" s="2" t="s">
        <v>1728</v>
      </c>
      <c r="C645" s="2" t="s">
        <v>68</v>
      </c>
      <c r="D645" s="2" t="s">
        <v>69</v>
      </c>
      <c r="E645" s="5">
        <v>-29843</v>
      </c>
      <c r="F645" s="3" t="s">
        <v>182</v>
      </c>
      <c r="G645" s="3" t="s">
        <v>45</v>
      </c>
      <c r="H645" s="2" t="s">
        <v>36</v>
      </c>
      <c r="I645" s="2" t="s">
        <v>1729</v>
      </c>
      <c r="J645" s="3" t="str">
        <f>HYPERLINK("https://www.boe.es/gazeta/dias/1818/04/16/pdfs/GMD-1818-46.pdf#page=8","Abrir facsímil")</f>
        <v>Abrir facsímil</v>
      </c>
      <c r="K645" s="3" t="s">
        <v>38</v>
      </c>
    </row>
    <row r="646" spans="1:11" ht="42" customHeight="1">
      <c r="A646" s="2" t="s">
        <v>1730</v>
      </c>
      <c r="B646" s="2" t="s">
        <v>1731</v>
      </c>
      <c r="C646" s="2" t="s">
        <v>68</v>
      </c>
      <c r="D646" s="2" t="s">
        <v>69</v>
      </c>
      <c r="E646" s="5">
        <v>-29948</v>
      </c>
      <c r="F646" s="3" t="s">
        <v>199</v>
      </c>
      <c r="G646" s="3" t="s">
        <v>45</v>
      </c>
      <c r="H646" s="2" t="s">
        <v>21</v>
      </c>
      <c r="I646" s="2" t="s">
        <v>1732</v>
      </c>
      <c r="J646" s="3" t="str">
        <f>HYPERLINK("https://www.boe.es/gazeta/dias/1818/01/01/pdfs/GMD-1818-1.pdf#page=8","Abrir facsímil")</f>
        <v>Abrir facsímil</v>
      </c>
      <c r="K646" s="3" t="s">
        <v>23</v>
      </c>
    </row>
    <row r="647" spans="1:11" ht="42" customHeight="1">
      <c r="A647" s="2" t="s">
        <v>1733</v>
      </c>
      <c r="B647" s="2" t="s">
        <v>1734</v>
      </c>
      <c r="C647" s="2" t="s">
        <v>68</v>
      </c>
      <c r="D647" s="2" t="s">
        <v>69</v>
      </c>
      <c r="E647" s="5">
        <v>-29948</v>
      </c>
      <c r="F647" s="3" t="s">
        <v>199</v>
      </c>
      <c r="G647" s="3" t="s">
        <v>45</v>
      </c>
      <c r="H647" s="2" t="s">
        <v>21</v>
      </c>
      <c r="I647" s="2" t="s">
        <v>1735</v>
      </c>
      <c r="J647" s="3" t="str">
        <f>HYPERLINK("https://www.boe.es/gazeta/dias/1818/01/01/pdfs/GMD-1818-1.pdf#page=8","Abrir facsímil")</f>
        <v>Abrir facsímil</v>
      </c>
      <c r="K647" s="3" t="s">
        <v>23</v>
      </c>
    </row>
    <row r="648" spans="1:11" ht="42" customHeight="1">
      <c r="A648" s="2" t="s">
        <v>1736</v>
      </c>
      <c r="B648" s="2" t="s">
        <v>1737</v>
      </c>
      <c r="C648" s="2" t="s">
        <v>68</v>
      </c>
      <c r="D648" s="2" t="s">
        <v>69</v>
      </c>
      <c r="E648" s="5">
        <v>-29689</v>
      </c>
      <c r="F648" s="3" t="s">
        <v>303</v>
      </c>
      <c r="G648" s="3" t="s">
        <v>45</v>
      </c>
      <c r="H648" s="2" t="s">
        <v>36</v>
      </c>
      <c r="I648" s="2" t="s">
        <v>1738</v>
      </c>
      <c r="J648" s="3" t="str">
        <f>HYPERLINK("https://www.boe.es/gazeta/dias/1818/09/17/pdfs/GMD-1818-112.pdf#page=8","Abrir facsímil")</f>
        <v>Abrir facsímil</v>
      </c>
      <c r="K648" s="3" t="s">
        <v>38</v>
      </c>
    </row>
    <row r="649" spans="1:11" ht="42" customHeight="1">
      <c r="A649" s="2" t="s">
        <v>1739</v>
      </c>
      <c r="B649" s="2" t="s">
        <v>1740</v>
      </c>
      <c r="C649" s="2" t="s">
        <v>68</v>
      </c>
      <c r="D649" s="2" t="s">
        <v>69</v>
      </c>
      <c r="E649" s="5">
        <v>-29624</v>
      </c>
      <c r="F649" s="3" t="s">
        <v>131</v>
      </c>
      <c r="G649" s="3" t="s">
        <v>20</v>
      </c>
      <c r="H649" s="2" t="s">
        <v>36</v>
      </c>
      <c r="I649" s="2" t="s">
        <v>1741</v>
      </c>
      <c r="J649" s="3" t="str">
        <f>HYPERLINK("https://www.boe.es/gazeta/dias/1818/11/21/pdfs/GMD-1818-141.pdf#page=7","Abrir facsímil")</f>
        <v>Abrir facsímil</v>
      </c>
      <c r="K649" s="3" t="s">
        <v>38</v>
      </c>
    </row>
    <row r="650" spans="1:11" ht="42" customHeight="1">
      <c r="A650" s="2" t="s">
        <v>1742</v>
      </c>
      <c r="B650" s="2" t="s">
        <v>1743</v>
      </c>
      <c r="C650" s="2" t="s">
        <v>68</v>
      </c>
      <c r="D650" s="2" t="s">
        <v>69</v>
      </c>
      <c r="E650" s="5">
        <v>-29670</v>
      </c>
      <c r="F650" s="3" t="s">
        <v>48</v>
      </c>
      <c r="G650" s="3" t="s">
        <v>45</v>
      </c>
      <c r="H650" s="2" t="s">
        <v>36</v>
      </c>
      <c r="I650" s="2" t="s">
        <v>1744</v>
      </c>
      <c r="J650" s="3" t="str">
        <f>HYPERLINK("https://www.boe.es/gazeta/dias/1818/10/06/pdfs/GMD-1818-120.pdf#page=8","Abrir facsímil")</f>
        <v>Abrir facsímil</v>
      </c>
      <c r="K650" s="3" t="s">
        <v>38</v>
      </c>
    </row>
    <row r="651" spans="1:11" ht="42" customHeight="1">
      <c r="A651" s="2" t="s">
        <v>1745</v>
      </c>
      <c r="B651" s="2" t="s">
        <v>1746</v>
      </c>
      <c r="C651" s="2" t="s">
        <v>68</v>
      </c>
      <c r="D651" s="2" t="s">
        <v>69</v>
      </c>
      <c r="E651" s="5">
        <v>-29927</v>
      </c>
      <c r="F651" s="3" t="s">
        <v>1381</v>
      </c>
      <c r="G651" s="3" t="s">
        <v>1382</v>
      </c>
      <c r="H651" s="2" t="s">
        <v>21</v>
      </c>
      <c r="I651" s="2" t="s">
        <v>1747</v>
      </c>
      <c r="J651" s="3" t="str">
        <f>HYPERLINK("https://www.boe.es/gazeta/dias/1818/01/22/pdfs/GMD-1818-10.pdf#page=5","Abrir facsímil")</f>
        <v>Abrir facsímil</v>
      </c>
      <c r="K651" s="3" t="s">
        <v>23</v>
      </c>
    </row>
    <row r="652" spans="1:11" ht="42" customHeight="1">
      <c r="A652" s="2" t="s">
        <v>1748</v>
      </c>
      <c r="B652" s="2" t="s">
        <v>1749</v>
      </c>
      <c r="C652" s="2" t="s">
        <v>26</v>
      </c>
      <c r="D652" s="2" t="s">
        <v>27</v>
      </c>
      <c r="E652" s="5">
        <v>-29621</v>
      </c>
      <c r="F652" s="3" t="s">
        <v>1561</v>
      </c>
      <c r="G652" s="3" t="s">
        <v>1562</v>
      </c>
      <c r="H652" s="2" t="s">
        <v>36</v>
      </c>
      <c r="I652" s="2" t="s">
        <v>1750</v>
      </c>
      <c r="J652" s="3" t="str">
        <f>HYPERLINK("https://www.boe.es/gazeta/dias/1818/11/24/pdfs/GMD-1818-142.pdf#page=7","Abrir facsímil")</f>
        <v>Abrir facsímil</v>
      </c>
      <c r="K652" s="3" t="s">
        <v>38</v>
      </c>
    </row>
    <row r="653" spans="1:11" ht="42" customHeight="1">
      <c r="A653" s="2" t="s">
        <v>1751</v>
      </c>
      <c r="B653" s="2" t="s">
        <v>1751</v>
      </c>
      <c r="C653" s="2" t="s">
        <v>26</v>
      </c>
      <c r="D653" s="2" t="s">
        <v>27</v>
      </c>
      <c r="E653" s="5">
        <v>-29600</v>
      </c>
      <c r="F653" s="3" t="s">
        <v>697</v>
      </c>
      <c r="G653" s="3" t="s">
        <v>1752</v>
      </c>
      <c r="H653" s="2" t="s">
        <v>36</v>
      </c>
      <c r="I653" s="2" t="s">
        <v>1753</v>
      </c>
      <c r="J653" s="3" t="str">
        <f>HYPERLINK("https://www.boe.es/gazeta/dias/1818/12/15/pdfs/GMD-1818-151.pdf#page=2","Abrir facsímil")</f>
        <v>Abrir facsímil</v>
      </c>
      <c r="K653" s="3" t="s">
        <v>38</v>
      </c>
    </row>
    <row r="654" spans="1:11" ht="42" customHeight="1">
      <c r="A654" s="2" t="s">
        <v>1754</v>
      </c>
      <c r="B654" s="2" t="s">
        <v>1755</v>
      </c>
      <c r="C654" s="2" t="s">
        <v>33</v>
      </c>
      <c r="D654" s="2" t="s">
        <v>18</v>
      </c>
      <c r="E654" s="5">
        <v>-29698</v>
      </c>
      <c r="F654" s="3" t="s">
        <v>148</v>
      </c>
      <c r="G654" s="3" t="s">
        <v>29</v>
      </c>
      <c r="H654" s="2" t="s">
        <v>36</v>
      </c>
      <c r="I654" s="2" t="s">
        <v>1756</v>
      </c>
      <c r="J654" s="3" t="str">
        <f>HYPERLINK("https://www.boe.es/gazeta/dias/1818/09/08/pdfs/GMD-1818-108.pdf#page=4","Abrir facsímil")</f>
        <v>Abrir facsímil</v>
      </c>
      <c r="K654" s="3" t="s">
        <v>38</v>
      </c>
    </row>
    <row r="655" spans="1:11" ht="42" customHeight="1">
      <c r="A655" s="2" t="s">
        <v>1757</v>
      </c>
      <c r="B655" s="2" t="s">
        <v>1757</v>
      </c>
      <c r="C655" s="2" t="s">
        <v>68</v>
      </c>
      <c r="D655" s="2" t="s">
        <v>69</v>
      </c>
      <c r="E655" s="5">
        <v>-29899</v>
      </c>
      <c r="F655" s="3" t="s">
        <v>232</v>
      </c>
      <c r="G655" s="3" t="s">
        <v>29</v>
      </c>
      <c r="H655" s="2" t="s">
        <v>36</v>
      </c>
      <c r="I655" s="2" t="s">
        <v>1758</v>
      </c>
      <c r="J655" s="3" t="str">
        <f>HYPERLINK("https://www.boe.es/gazeta/dias/1818/02/19/pdfs/GMD-1818-22.pdf#page=4","Abrir facsímil")</f>
        <v>Abrir facsímil</v>
      </c>
      <c r="K655" s="3" t="s">
        <v>38</v>
      </c>
    </row>
    <row r="656" spans="1:11" ht="42" customHeight="1">
      <c r="A656" s="2" t="s">
        <v>1759</v>
      </c>
      <c r="B656" s="2" t="s">
        <v>1760</v>
      </c>
      <c r="C656" s="2" t="s">
        <v>68</v>
      </c>
      <c r="D656" s="2" t="s">
        <v>69</v>
      </c>
      <c r="E656" s="5">
        <v>-29610</v>
      </c>
      <c r="F656" s="3" t="s">
        <v>1441</v>
      </c>
      <c r="G656" s="3" t="s">
        <v>120</v>
      </c>
      <c r="H656" s="2" t="s">
        <v>36</v>
      </c>
      <c r="I656" s="2" t="s">
        <v>1761</v>
      </c>
      <c r="J656" s="3" t="str">
        <f>HYPERLINK("https://www.boe.es/gazeta/dias/1818/12/05/pdfs/GMD-1818-147.pdf#page=2","Abrir facsímil")</f>
        <v>Abrir facsímil</v>
      </c>
      <c r="K656" s="3" t="s">
        <v>38</v>
      </c>
    </row>
    <row r="657" spans="1:11" ht="42" customHeight="1">
      <c r="A657" s="2" t="s">
        <v>1762</v>
      </c>
      <c r="B657" s="2" t="s">
        <v>1763</v>
      </c>
      <c r="C657" s="2" t="s">
        <v>26</v>
      </c>
      <c r="D657" s="2" t="s">
        <v>27</v>
      </c>
      <c r="E657" s="5">
        <v>-29645</v>
      </c>
      <c r="F657" s="3" t="s">
        <v>577</v>
      </c>
      <c r="G657" s="3" t="s">
        <v>120</v>
      </c>
      <c r="H657" s="2" t="s">
        <v>36</v>
      </c>
      <c r="I657" s="2" t="s">
        <v>1764</v>
      </c>
      <c r="J657" s="3" t="str">
        <f>HYPERLINK("https://www.boe.es/gazeta/dias/1818/10/31/pdfs/GMD-1818-132.pdf#page=2","Abrir facsímil")</f>
        <v>Abrir facsímil</v>
      </c>
      <c r="K657" s="3" t="s">
        <v>38</v>
      </c>
    </row>
    <row r="658" spans="1:11" ht="42" customHeight="1">
      <c r="A658" s="2" t="s">
        <v>1762</v>
      </c>
      <c r="B658" s="2" t="s">
        <v>1763</v>
      </c>
      <c r="C658" s="2" t="s">
        <v>26</v>
      </c>
      <c r="D658" s="2" t="s">
        <v>27</v>
      </c>
      <c r="E658" s="5">
        <v>-29612</v>
      </c>
      <c r="F658" s="3" t="s">
        <v>1765</v>
      </c>
      <c r="G658" s="3" t="s">
        <v>120</v>
      </c>
      <c r="H658" s="2" t="s">
        <v>36</v>
      </c>
      <c r="I658" s="2" t="s">
        <v>1766</v>
      </c>
      <c r="J658" s="3" t="str">
        <f>HYPERLINK("https://www.boe.es/gazeta/dias/1818/12/03/pdfs/GMD-1818-146.pdf#page=2","Abrir facsímil")</f>
        <v>Abrir facsímil</v>
      </c>
      <c r="K658" s="3" t="s">
        <v>38</v>
      </c>
    </row>
    <row r="659" spans="1:11" ht="42" customHeight="1">
      <c r="A659" s="2" t="s">
        <v>1767</v>
      </c>
      <c r="B659" s="2" t="s">
        <v>1768</v>
      </c>
      <c r="C659" s="2" t="s">
        <v>97</v>
      </c>
      <c r="D659" s="2" t="s">
        <v>18</v>
      </c>
      <c r="E659" s="5">
        <v>-29918</v>
      </c>
      <c r="F659" s="3" t="s">
        <v>89</v>
      </c>
      <c r="G659" s="3" t="s">
        <v>90</v>
      </c>
      <c r="H659" s="2" t="s">
        <v>36</v>
      </c>
      <c r="I659" s="2" t="s">
        <v>1769</v>
      </c>
      <c r="J659" s="3" t="str">
        <f>HYPERLINK("https://www.boe.es/gazeta/dias/1818/01/31/pdfs/GMD-1818-14.pdf#page=10","Abrir facsímil")</f>
        <v>Abrir facsímil</v>
      </c>
      <c r="K659" s="3" t="s">
        <v>38</v>
      </c>
    </row>
    <row r="660" spans="1:11" ht="42" customHeight="1">
      <c r="A660" s="2" t="s">
        <v>1770</v>
      </c>
      <c r="B660" s="2" t="s">
        <v>1770</v>
      </c>
      <c r="C660" s="2" t="s">
        <v>26</v>
      </c>
      <c r="D660" s="2" t="s">
        <v>27</v>
      </c>
      <c r="E660" s="5">
        <v>-29607</v>
      </c>
      <c r="F660" s="3" t="s">
        <v>704</v>
      </c>
      <c r="G660" s="3" t="s">
        <v>106</v>
      </c>
      <c r="H660" s="2" t="s">
        <v>36</v>
      </c>
      <c r="I660" s="2" t="s">
        <v>1771</v>
      </c>
      <c r="J660" s="3" t="str">
        <f>HYPERLINK("https://www.boe.es/gazeta/dias/1818/12/08/pdfs/GMD-1818-148.pdf#page=5","Abrir facsímil")</f>
        <v>Abrir facsímil</v>
      </c>
      <c r="K660" s="3" t="s">
        <v>38</v>
      </c>
    </row>
    <row r="661" spans="1:11" ht="42" customHeight="1">
      <c r="A661" s="2" t="s">
        <v>1772</v>
      </c>
      <c r="B661" s="2" t="s">
        <v>1773</v>
      </c>
      <c r="C661" s="2" t="s">
        <v>17</v>
      </c>
      <c r="D661" s="2" t="s">
        <v>18</v>
      </c>
      <c r="E661" s="5">
        <v>-29607</v>
      </c>
      <c r="F661" s="3" t="s">
        <v>704</v>
      </c>
      <c r="G661" s="3" t="s">
        <v>106</v>
      </c>
      <c r="H661" s="2" t="s">
        <v>36</v>
      </c>
      <c r="I661" s="2" t="s">
        <v>1774</v>
      </c>
      <c r="J661" s="3" t="str">
        <f>HYPERLINK("https://www.boe.es/gazeta/dias/1818/12/08/pdfs/GMD-1818-148.pdf#page=5","Abrir facsímil")</f>
        <v>Abrir facsímil</v>
      </c>
      <c r="K661" s="3" t="s">
        <v>38</v>
      </c>
    </row>
    <row r="662" spans="1:11" ht="42" customHeight="1">
      <c r="A662" s="2" t="s">
        <v>1775</v>
      </c>
      <c r="B662" s="2" t="s">
        <v>1776</v>
      </c>
      <c r="C662" s="2" t="s">
        <v>26</v>
      </c>
      <c r="D662" s="2" t="s">
        <v>27</v>
      </c>
      <c r="E662" s="5">
        <v>-29652</v>
      </c>
      <c r="F662" s="3" t="s">
        <v>741</v>
      </c>
      <c r="G662" s="3" t="s">
        <v>106</v>
      </c>
      <c r="H662" s="2" t="s">
        <v>36</v>
      </c>
      <c r="I662" s="2" t="s">
        <v>1777</v>
      </c>
      <c r="J662" s="3" t="str">
        <f>HYPERLINK("https://www.boe.es/gazeta/dias/1818/10/24/pdfs/GMD-1818-129.pdf#page=5","Abrir facsímil")</f>
        <v>Abrir facsímil</v>
      </c>
      <c r="K662" s="3" t="s">
        <v>38</v>
      </c>
    </row>
    <row r="663" spans="1:11" ht="42" customHeight="1">
      <c r="A663" s="2" t="s">
        <v>1778</v>
      </c>
      <c r="B663" s="2" t="s">
        <v>1778</v>
      </c>
      <c r="C663" s="2" t="s">
        <v>68</v>
      </c>
      <c r="D663" s="2" t="s">
        <v>69</v>
      </c>
      <c r="E663" s="5">
        <v>-29689</v>
      </c>
      <c r="F663" s="3" t="s">
        <v>303</v>
      </c>
      <c r="G663" s="3" t="s">
        <v>1779</v>
      </c>
      <c r="H663" s="2" t="s">
        <v>36</v>
      </c>
      <c r="I663" s="2" t="s">
        <v>1780</v>
      </c>
      <c r="J663" s="3" t="str">
        <f>HYPERLINK("https://www.boe.es/gazeta/dias/1818/09/17/pdfs/GMD-1818-112.pdf#page=3","Abrir facsímil")</f>
        <v>Abrir facsímil</v>
      </c>
      <c r="K663" s="3" t="s">
        <v>38</v>
      </c>
    </row>
    <row r="664" spans="1:11" ht="42" customHeight="1">
      <c r="A664" s="2" t="s">
        <v>1781</v>
      </c>
      <c r="B664" s="2" t="s">
        <v>1781</v>
      </c>
      <c r="C664" s="2" t="s">
        <v>26</v>
      </c>
      <c r="D664" s="2" t="s">
        <v>27</v>
      </c>
      <c r="E664" s="5">
        <v>-29773</v>
      </c>
      <c r="F664" s="3" t="s">
        <v>424</v>
      </c>
      <c r="G664" s="3" t="s">
        <v>1782</v>
      </c>
      <c r="H664" s="2" t="s">
        <v>36</v>
      </c>
      <c r="I664" s="2" t="s">
        <v>1783</v>
      </c>
      <c r="J664" s="3" t="str">
        <f>HYPERLINK("https://www.boe.es/gazeta/dias/1818/06/25/pdfs/GMD-1818-76.pdf#page=4","Abrir facsímil")</f>
        <v>Abrir facsímil</v>
      </c>
      <c r="K664" s="3" t="s">
        <v>38</v>
      </c>
    </row>
    <row r="665" spans="1:11" ht="42" customHeight="1">
      <c r="A665" s="2" t="s">
        <v>1784</v>
      </c>
      <c r="B665" s="2" t="s">
        <v>1785</v>
      </c>
      <c r="C665" s="2" t="s">
        <v>26</v>
      </c>
      <c r="D665" s="2" t="s">
        <v>27</v>
      </c>
      <c r="E665" s="5">
        <v>-29740</v>
      </c>
      <c r="F665" s="3" t="s">
        <v>152</v>
      </c>
      <c r="G665" s="3" t="s">
        <v>153</v>
      </c>
      <c r="H665" s="2" t="s">
        <v>36</v>
      </c>
      <c r="I665" s="2" t="s">
        <v>1786</v>
      </c>
      <c r="J665" s="3" t="str">
        <f>HYPERLINK("https://www.boe.es/gazeta/dias/1818/07/28/pdfs/GMD-1818-90.pdf#page=6","Abrir facsímil")</f>
        <v>Abrir facsímil</v>
      </c>
      <c r="K665" s="3" t="s">
        <v>38</v>
      </c>
    </row>
    <row r="666" spans="1:11" ht="42" customHeight="1">
      <c r="A666" s="2" t="s">
        <v>1787</v>
      </c>
      <c r="B666" s="2" t="s">
        <v>1787</v>
      </c>
      <c r="C666" s="2" t="s">
        <v>26</v>
      </c>
      <c r="D666" s="2" t="s">
        <v>27</v>
      </c>
      <c r="E666" s="5">
        <v>-29829</v>
      </c>
      <c r="F666" s="3" t="s">
        <v>44</v>
      </c>
      <c r="G666" s="3" t="s">
        <v>85</v>
      </c>
      <c r="H666" s="2" t="s">
        <v>36</v>
      </c>
      <c r="I666" s="2" t="s">
        <v>1788</v>
      </c>
      <c r="J666" s="3" t="str">
        <f>HYPERLINK("https://www.boe.es/gazeta/dias/1818/04/30/pdfs/GMD-1818-52.pdf#page=3","Abrir facsímil")</f>
        <v>Abrir facsímil</v>
      </c>
      <c r="K666" s="3" t="s">
        <v>38</v>
      </c>
    </row>
    <row r="667" spans="1:11" ht="42" customHeight="1">
      <c r="A667" s="2" t="s">
        <v>1787</v>
      </c>
      <c r="B667" s="2" t="s">
        <v>1787</v>
      </c>
      <c r="C667" s="2" t="s">
        <v>26</v>
      </c>
      <c r="D667" s="2" t="s">
        <v>27</v>
      </c>
      <c r="E667" s="5">
        <v>-29696</v>
      </c>
      <c r="F667" s="3" t="s">
        <v>1716</v>
      </c>
      <c r="G667" s="3" t="s">
        <v>120</v>
      </c>
      <c r="H667" s="2" t="s">
        <v>36</v>
      </c>
      <c r="I667" s="2" t="s">
        <v>1789</v>
      </c>
      <c r="J667" s="3" t="str">
        <f>HYPERLINK("https://www.boe.es/gazeta/dias/1818/09/10/pdfs/GMD-1818-109.pdf#page=2","Abrir facsímil")</f>
        <v>Abrir facsímil</v>
      </c>
      <c r="K667" s="3" t="s">
        <v>38</v>
      </c>
    </row>
    <row r="668" spans="1:11" ht="42" customHeight="1">
      <c r="A668" s="2" t="s">
        <v>1790</v>
      </c>
      <c r="B668" s="2" t="s">
        <v>1791</v>
      </c>
      <c r="C668" s="2" t="s">
        <v>17</v>
      </c>
      <c r="D668" s="2" t="s">
        <v>18</v>
      </c>
      <c r="E668" s="5">
        <v>-29645</v>
      </c>
      <c r="F668" s="3" t="s">
        <v>577</v>
      </c>
      <c r="G668" s="3" t="s">
        <v>59</v>
      </c>
      <c r="H668" s="2" t="s">
        <v>36</v>
      </c>
      <c r="I668" s="2" t="s">
        <v>1792</v>
      </c>
      <c r="J668" s="3" t="str">
        <f>HYPERLINK("https://www.boe.es/gazeta/dias/1818/10/31/pdfs/GMD-1818-132.pdf#page=6","Abrir facsímil")</f>
        <v>Abrir facsímil</v>
      </c>
      <c r="K668" s="3" t="s">
        <v>38</v>
      </c>
    </row>
    <row r="669" spans="1:11" ht="42" customHeight="1">
      <c r="A669" s="2" t="s">
        <v>1793</v>
      </c>
      <c r="B669" s="2" t="s">
        <v>1794</v>
      </c>
      <c r="C669" s="2" t="s">
        <v>26</v>
      </c>
      <c r="D669" s="2" t="s">
        <v>27</v>
      </c>
      <c r="E669" s="5">
        <v>-29703</v>
      </c>
      <c r="F669" s="3" t="s">
        <v>294</v>
      </c>
      <c r="G669" s="3" t="s">
        <v>295</v>
      </c>
      <c r="H669" s="2" t="s">
        <v>36</v>
      </c>
      <c r="I669" s="2" t="s">
        <v>1795</v>
      </c>
      <c r="J669" s="3" t="str">
        <f>HYPERLINK("https://www.boe.es/gazeta/dias/1818/09/03/pdfs/GMD-1818-106.pdf#page=5","Abrir facsímil")</f>
        <v>Abrir facsímil</v>
      </c>
      <c r="K669" s="3" t="s">
        <v>38</v>
      </c>
    </row>
    <row r="670" spans="1:11" ht="42" customHeight="1">
      <c r="A670" s="2" t="s">
        <v>1796</v>
      </c>
      <c r="B670" s="2" t="s">
        <v>1797</v>
      </c>
      <c r="C670" s="2" t="s">
        <v>26</v>
      </c>
      <c r="D670" s="2" t="s">
        <v>27</v>
      </c>
      <c r="E670" s="5">
        <v>-29922</v>
      </c>
      <c r="F670" s="3" t="s">
        <v>174</v>
      </c>
      <c r="G670" s="3" t="s">
        <v>175</v>
      </c>
      <c r="H670" s="2" t="s">
        <v>36</v>
      </c>
      <c r="I670" s="2" t="s">
        <v>1798</v>
      </c>
      <c r="J670" s="3" t="str">
        <f>HYPERLINK("https://www.boe.es/gazeta/dias/1818/01/27/pdfs/GMD-1818-12.pdf#page=5","Abrir facsímil")</f>
        <v>Abrir facsímil</v>
      </c>
      <c r="K670" s="3" t="s">
        <v>38</v>
      </c>
    </row>
    <row r="671" spans="1:11" ht="42" customHeight="1">
      <c r="A671" s="2" t="s">
        <v>1796</v>
      </c>
      <c r="B671" s="2" t="s">
        <v>1797</v>
      </c>
      <c r="C671" s="2" t="s">
        <v>26</v>
      </c>
      <c r="D671" s="2" t="s">
        <v>27</v>
      </c>
      <c r="E671" s="5">
        <v>-29897</v>
      </c>
      <c r="F671" s="3" t="s">
        <v>318</v>
      </c>
      <c r="G671" s="3" t="s">
        <v>106</v>
      </c>
      <c r="H671" s="2" t="s">
        <v>36</v>
      </c>
      <c r="I671" s="2" t="s">
        <v>1799</v>
      </c>
      <c r="J671" s="3" t="str">
        <f>HYPERLINK("https://www.boe.es/gazeta/dias/1818/02/21/pdfs/GMD-1818-23.pdf#page=5","Abrir facsímil")</f>
        <v>Abrir facsímil</v>
      </c>
      <c r="K671" s="3" t="s">
        <v>38</v>
      </c>
    </row>
    <row r="672" spans="1:11" ht="42" customHeight="1">
      <c r="A672" s="2" t="s">
        <v>1796</v>
      </c>
      <c r="B672" s="2" t="s">
        <v>1797</v>
      </c>
      <c r="C672" s="2" t="s">
        <v>26</v>
      </c>
      <c r="D672" s="2" t="s">
        <v>27</v>
      </c>
      <c r="E672" s="5">
        <v>-29687</v>
      </c>
      <c r="F672" s="3" t="s">
        <v>686</v>
      </c>
      <c r="G672" s="3" t="s">
        <v>29</v>
      </c>
      <c r="H672" s="2" t="s">
        <v>36</v>
      </c>
      <c r="I672" s="2" t="s">
        <v>1800</v>
      </c>
      <c r="J672" s="3" t="str">
        <f>HYPERLINK("https://www.boe.es/gazeta/dias/1818/09/19/pdfs/GMD-1818-113.pdf#page=4","Abrir facsímil")</f>
        <v>Abrir facsímil</v>
      </c>
      <c r="K672" s="3" t="s">
        <v>38</v>
      </c>
    </row>
    <row r="673" spans="1:11" ht="42" customHeight="1">
      <c r="A673" s="2" t="s">
        <v>1796</v>
      </c>
      <c r="B673" s="2" t="s">
        <v>1797</v>
      </c>
      <c r="C673" s="2" t="s">
        <v>26</v>
      </c>
      <c r="D673" s="2" t="s">
        <v>27</v>
      </c>
      <c r="E673" s="5">
        <v>-29687</v>
      </c>
      <c r="F673" s="3" t="s">
        <v>686</v>
      </c>
      <c r="G673" s="3" t="s">
        <v>106</v>
      </c>
      <c r="H673" s="2" t="s">
        <v>36</v>
      </c>
      <c r="I673" s="2" t="s">
        <v>1801</v>
      </c>
      <c r="J673" s="3" t="str">
        <f>HYPERLINK("https://www.boe.es/gazeta/dias/1818/09/19/pdfs/GMD-1818-113.pdf#page=5","Abrir facsímil")</f>
        <v>Abrir facsímil</v>
      </c>
      <c r="K673" s="3" t="s">
        <v>38</v>
      </c>
    </row>
    <row r="674" spans="1:11" ht="42" customHeight="1">
      <c r="A674" s="2" t="s">
        <v>1796</v>
      </c>
      <c r="B674" s="2" t="s">
        <v>1797</v>
      </c>
      <c r="C674" s="2" t="s">
        <v>26</v>
      </c>
      <c r="D674" s="2" t="s">
        <v>27</v>
      </c>
      <c r="E674" s="5">
        <v>-29687</v>
      </c>
      <c r="F674" s="3" t="s">
        <v>686</v>
      </c>
      <c r="G674" s="3" t="s">
        <v>59</v>
      </c>
      <c r="H674" s="2" t="s">
        <v>36</v>
      </c>
      <c r="I674" s="2" t="s">
        <v>1802</v>
      </c>
      <c r="J674" s="3" t="str">
        <f>HYPERLINK("https://www.boe.es/gazeta/dias/1818/09/19/pdfs/GMD-1818-113.pdf#page=6","Abrir facsímil")</f>
        <v>Abrir facsímil</v>
      </c>
      <c r="K674" s="3" t="s">
        <v>38</v>
      </c>
    </row>
    <row r="675" spans="1:11" ht="42" customHeight="1">
      <c r="A675" s="2" t="s">
        <v>1803</v>
      </c>
      <c r="B675" s="2" t="s">
        <v>1804</v>
      </c>
      <c r="C675" s="2" t="s">
        <v>17</v>
      </c>
      <c r="D675" s="2" t="s">
        <v>18</v>
      </c>
      <c r="E675" s="5">
        <v>-29612</v>
      </c>
      <c r="F675" s="3" t="s">
        <v>1765</v>
      </c>
      <c r="G675" s="3" t="s">
        <v>45</v>
      </c>
      <c r="H675" s="2" t="s">
        <v>36</v>
      </c>
      <c r="I675" s="2" t="s">
        <v>1805</v>
      </c>
      <c r="J675" s="3" t="str">
        <f>HYPERLINK("https://www.boe.es/gazeta/dias/1818/12/03/pdfs/GMD-1818-146.pdf#page=8","Abrir facsímil")</f>
        <v>Abrir facsímil</v>
      </c>
      <c r="K675" s="3" t="s">
        <v>38</v>
      </c>
    </row>
    <row r="676" spans="1:11" ht="42" customHeight="1">
      <c r="A676" s="2" t="s">
        <v>1806</v>
      </c>
      <c r="B676" s="2" t="s">
        <v>1806</v>
      </c>
      <c r="C676" s="2" t="s">
        <v>33</v>
      </c>
      <c r="D676" s="2" t="s">
        <v>18</v>
      </c>
      <c r="E676" s="5">
        <v>-29696</v>
      </c>
      <c r="F676" s="3" t="s">
        <v>1716</v>
      </c>
      <c r="G676" s="3" t="s">
        <v>49</v>
      </c>
      <c r="H676" s="2" t="s">
        <v>36</v>
      </c>
      <c r="I676" s="2" t="s">
        <v>1807</v>
      </c>
      <c r="J676" s="3" t="str">
        <f>HYPERLINK("https://www.boe.es/gazeta/dias/1818/09/10/pdfs/GMD-1818-109.pdf#page=1","Abrir facsímil")</f>
        <v>Abrir facsímil</v>
      </c>
      <c r="K676" s="3" t="s">
        <v>38</v>
      </c>
    </row>
    <row r="677" spans="1:11" ht="42" customHeight="1">
      <c r="A677" s="2" t="s">
        <v>1808</v>
      </c>
      <c r="B677" s="2" t="s">
        <v>1808</v>
      </c>
      <c r="C677" s="2" t="s">
        <v>26</v>
      </c>
      <c r="D677" s="2" t="s">
        <v>27</v>
      </c>
      <c r="E677" s="5">
        <v>-29773</v>
      </c>
      <c r="F677" s="3" t="s">
        <v>424</v>
      </c>
      <c r="G677" s="3" t="s">
        <v>49</v>
      </c>
      <c r="H677" s="2" t="s">
        <v>36</v>
      </c>
      <c r="I677" s="2" t="s">
        <v>1809</v>
      </c>
      <c r="J677" s="3" t="str">
        <f>HYPERLINK("https://www.boe.es/gazeta/dias/1818/06/25/pdfs/GMD-1818-76.pdf#page=1","Abrir facsímil")</f>
        <v>Abrir facsímil</v>
      </c>
      <c r="K677" s="3" t="s">
        <v>38</v>
      </c>
    </row>
    <row r="678" spans="1:11" ht="42" customHeight="1">
      <c r="A678" s="2" t="s">
        <v>1810</v>
      </c>
      <c r="B678" s="2" t="s">
        <v>1811</v>
      </c>
      <c r="C678" s="2" t="s">
        <v>57</v>
      </c>
      <c r="D678" s="2" t="s">
        <v>18</v>
      </c>
      <c r="E678" s="5">
        <v>-29892</v>
      </c>
      <c r="F678" s="3" t="s">
        <v>39</v>
      </c>
      <c r="G678" s="3" t="s">
        <v>40</v>
      </c>
      <c r="H678" s="2" t="s">
        <v>36</v>
      </c>
      <c r="I678" s="2" t="s">
        <v>1812</v>
      </c>
      <c r="J678" s="3" t="str">
        <f>HYPERLINK("https://www.boe.es/gazeta/dias/1818/02/26/pdfs/GMD-1818-25.pdf#page=8","Abrir facsímil")</f>
        <v>Abrir facsímil</v>
      </c>
      <c r="K678" s="3" t="s">
        <v>38</v>
      </c>
    </row>
    <row r="679" spans="1:11" ht="42" customHeight="1">
      <c r="A679" s="2" t="s">
        <v>1810</v>
      </c>
      <c r="B679" s="2" t="s">
        <v>1811</v>
      </c>
      <c r="C679" s="2" t="s">
        <v>57</v>
      </c>
      <c r="D679" s="2" t="s">
        <v>18</v>
      </c>
      <c r="E679" s="5">
        <v>-29654</v>
      </c>
      <c r="F679" s="3" t="s">
        <v>219</v>
      </c>
      <c r="G679" s="3" t="s">
        <v>45</v>
      </c>
      <c r="H679" s="2" t="s">
        <v>36</v>
      </c>
      <c r="I679" s="2" t="s">
        <v>1813</v>
      </c>
      <c r="J679" s="3" t="str">
        <f>HYPERLINK("https://www.boe.es/gazeta/dias/1818/10/22/pdfs/GMD-1818-128.pdf#page=8","Abrir facsímil")</f>
        <v>Abrir facsímil</v>
      </c>
      <c r="K679" s="3" t="s">
        <v>38</v>
      </c>
    </row>
    <row r="680" spans="1:11" ht="42" customHeight="1">
      <c r="A680" s="2" t="s">
        <v>1814</v>
      </c>
      <c r="B680" s="2" t="s">
        <v>1815</v>
      </c>
      <c r="C680" s="2" t="s">
        <v>26</v>
      </c>
      <c r="D680" s="2" t="s">
        <v>27</v>
      </c>
      <c r="E680" s="5">
        <v>-29617</v>
      </c>
      <c r="F680" s="3" t="s">
        <v>995</v>
      </c>
      <c r="G680" s="3" t="s">
        <v>45</v>
      </c>
      <c r="H680" s="2" t="s">
        <v>21</v>
      </c>
      <c r="I680" s="2" t="s">
        <v>1816</v>
      </c>
      <c r="J680" s="3" t="str">
        <f>HYPERLINK("https://www.boe.es/gazeta/dias/1818/11/28/pdfs/GMD-1818-144.pdf#page=8","Abrir facsímil")</f>
        <v>Abrir facsímil</v>
      </c>
      <c r="K680" s="3" t="s">
        <v>23</v>
      </c>
    </row>
    <row r="681" spans="1:11" ht="42" customHeight="1">
      <c r="A681" s="2" t="s">
        <v>1817</v>
      </c>
      <c r="B681" s="2" t="s">
        <v>1818</v>
      </c>
      <c r="C681" s="2" t="s">
        <v>26</v>
      </c>
      <c r="D681" s="2" t="s">
        <v>27</v>
      </c>
      <c r="E681" s="5">
        <v>-29857</v>
      </c>
      <c r="F681" s="3" t="s">
        <v>831</v>
      </c>
      <c r="G681" s="3" t="s">
        <v>106</v>
      </c>
      <c r="H681" s="2" t="s">
        <v>36</v>
      </c>
      <c r="I681" s="2" t="s">
        <v>1819</v>
      </c>
      <c r="J681" s="3" t="str">
        <f>HYPERLINK("https://www.boe.es/gazeta/dias/1818/04/02/pdfs/GMD-1818-40.pdf#page=5","Abrir facsímil")</f>
        <v>Abrir facsímil</v>
      </c>
      <c r="K681" s="3" t="s">
        <v>38</v>
      </c>
    </row>
    <row r="682" spans="1:11" ht="42" customHeight="1">
      <c r="A682" s="2" t="s">
        <v>1817</v>
      </c>
      <c r="B682" s="2" t="s">
        <v>1818</v>
      </c>
      <c r="C682" s="2" t="s">
        <v>26</v>
      </c>
      <c r="D682" s="2" t="s">
        <v>27</v>
      </c>
      <c r="E682" s="5">
        <v>-29857</v>
      </c>
      <c r="F682" s="3" t="s">
        <v>831</v>
      </c>
      <c r="G682" s="3" t="s">
        <v>59</v>
      </c>
      <c r="H682" s="2" t="s">
        <v>36</v>
      </c>
      <c r="I682" s="2" t="s">
        <v>1820</v>
      </c>
      <c r="J682" s="3" t="str">
        <f>HYPERLINK("https://www.boe.es/gazeta/dias/1818/04/02/pdfs/GMD-1818-40.pdf#page=6","Abrir facsímil")</f>
        <v>Abrir facsímil</v>
      </c>
      <c r="K682" s="3" t="s">
        <v>38</v>
      </c>
    </row>
    <row r="683" spans="1:11" ht="42" customHeight="1">
      <c r="A683" s="2" t="s">
        <v>1821</v>
      </c>
      <c r="B683" s="2" t="s">
        <v>1822</v>
      </c>
      <c r="C683" s="2" t="s">
        <v>26</v>
      </c>
      <c r="D683" s="2" t="s">
        <v>27</v>
      </c>
      <c r="E683" s="5">
        <v>-29869</v>
      </c>
      <c r="F683" s="3" t="s">
        <v>140</v>
      </c>
      <c r="G683" s="3" t="s">
        <v>29</v>
      </c>
      <c r="H683" s="2" t="s">
        <v>36</v>
      </c>
      <c r="I683" s="2" t="s">
        <v>1823</v>
      </c>
      <c r="J683" s="3" t="str">
        <f>HYPERLINK("https://www.boe.es/gazeta/dias/1818/03/21/pdfs/GMD-1818-35.pdf#page=4","Abrir facsímil")</f>
        <v>Abrir facsímil</v>
      </c>
      <c r="K683" s="3" t="s">
        <v>38</v>
      </c>
    </row>
    <row r="684" spans="1:11" ht="42" customHeight="1">
      <c r="A684" s="2" t="s">
        <v>1821</v>
      </c>
      <c r="B684" s="2" t="s">
        <v>1822</v>
      </c>
      <c r="C684" s="2" t="s">
        <v>26</v>
      </c>
      <c r="D684" s="2" t="s">
        <v>27</v>
      </c>
      <c r="E684" s="5">
        <v>-29869</v>
      </c>
      <c r="F684" s="3" t="s">
        <v>140</v>
      </c>
      <c r="G684" s="3" t="s">
        <v>106</v>
      </c>
      <c r="H684" s="2" t="s">
        <v>36</v>
      </c>
      <c r="I684" s="2" t="s">
        <v>1824</v>
      </c>
      <c r="J684" s="3" t="str">
        <f>HYPERLINK("https://www.boe.es/gazeta/dias/1818/03/21/pdfs/GMD-1818-35.pdf#page=5","Abrir facsímil")</f>
        <v>Abrir facsímil</v>
      </c>
      <c r="K684" s="3" t="s">
        <v>38</v>
      </c>
    </row>
    <row r="685" spans="1:11" ht="42" customHeight="1">
      <c r="A685" s="2" t="s">
        <v>1825</v>
      </c>
      <c r="B685" s="2" t="s">
        <v>1826</v>
      </c>
      <c r="C685" s="2" t="s">
        <v>26</v>
      </c>
      <c r="D685" s="2" t="s">
        <v>27</v>
      </c>
      <c r="E685" s="5">
        <v>-29719</v>
      </c>
      <c r="F685" s="3" t="s">
        <v>243</v>
      </c>
      <c r="G685" s="3" t="s">
        <v>772</v>
      </c>
      <c r="H685" s="2" t="s">
        <v>36</v>
      </c>
      <c r="I685" s="2" t="s">
        <v>1827</v>
      </c>
      <c r="J685" s="3" t="str">
        <f>HYPERLINK("https://www.boe.es/gazeta/dias/1818/08/18/pdfs/GMD-1818-99.pdf#page=10","Abrir facsímil")</f>
        <v>Abrir facsímil</v>
      </c>
      <c r="K685" s="3" t="s">
        <v>38</v>
      </c>
    </row>
    <row r="686" spans="1:11" ht="42" customHeight="1">
      <c r="A686" s="2" t="s">
        <v>1828</v>
      </c>
      <c r="B686" s="2" t="s">
        <v>1828</v>
      </c>
      <c r="C686" s="2" t="s">
        <v>17</v>
      </c>
      <c r="D686" s="2" t="s">
        <v>18</v>
      </c>
      <c r="E686" s="5">
        <v>-29873</v>
      </c>
      <c r="F686" s="3" t="s">
        <v>323</v>
      </c>
      <c r="G686" s="3" t="s">
        <v>120</v>
      </c>
      <c r="H686" s="2" t="s">
        <v>36</v>
      </c>
      <c r="I686" s="2" t="s">
        <v>1829</v>
      </c>
      <c r="J686" s="3" t="str">
        <f>HYPERLINK("https://www.boe.es/gazeta/dias/1818/03/17/pdfs/GMD-1818-33.pdf#page=2","Abrir facsímil")</f>
        <v>Abrir facsímil</v>
      </c>
      <c r="K686" s="3" t="s">
        <v>38</v>
      </c>
    </row>
    <row r="687" spans="1:11" ht="42" customHeight="1">
      <c r="A687" s="2" t="s">
        <v>1830</v>
      </c>
      <c r="B687" s="2" t="s">
        <v>1831</v>
      </c>
      <c r="C687" s="2" t="s">
        <v>26</v>
      </c>
      <c r="D687" s="2" t="s">
        <v>27</v>
      </c>
      <c r="E687" s="5">
        <v>-29663</v>
      </c>
      <c r="F687" s="3" t="s">
        <v>1011</v>
      </c>
      <c r="G687" s="3" t="s">
        <v>45</v>
      </c>
      <c r="H687" s="2" t="s">
        <v>36</v>
      </c>
      <c r="I687" s="2" t="s">
        <v>1832</v>
      </c>
      <c r="J687" s="3" t="str">
        <f>HYPERLINK("https://www.boe.es/gazeta/dias/1818/10/13/pdfs/GMD-1818-123.pdf#page=8","Abrir facsímil")</f>
        <v>Abrir facsímil</v>
      </c>
      <c r="K687" s="3" t="s">
        <v>38</v>
      </c>
    </row>
    <row r="688" spans="1:11" ht="42" customHeight="1">
      <c r="A688" s="2" t="s">
        <v>1833</v>
      </c>
      <c r="B688" s="2" t="s">
        <v>1834</v>
      </c>
      <c r="C688" s="2" t="s">
        <v>26</v>
      </c>
      <c r="D688" s="2" t="s">
        <v>27</v>
      </c>
      <c r="E688" s="5">
        <v>-29626</v>
      </c>
      <c r="F688" s="3" t="s">
        <v>496</v>
      </c>
      <c r="G688" s="3" t="s">
        <v>882</v>
      </c>
      <c r="H688" s="2" t="s">
        <v>36</v>
      </c>
      <c r="I688" s="2" t="s">
        <v>1835</v>
      </c>
      <c r="J688" s="3" t="str">
        <f>HYPERLINK("https://www.boe.es/gazeta/dias/1818/11/19/pdfs/GMD-1818-140.pdf#page=4","Abrir facsímil")</f>
        <v>Abrir facsímil</v>
      </c>
      <c r="K688" s="3" t="s">
        <v>38</v>
      </c>
    </row>
    <row r="689" spans="1:11" ht="42" customHeight="1">
      <c r="A689" s="2" t="s">
        <v>1836</v>
      </c>
      <c r="B689" s="2" t="s">
        <v>1836</v>
      </c>
      <c r="C689" s="2" t="s">
        <v>68</v>
      </c>
      <c r="D689" s="2" t="s">
        <v>69</v>
      </c>
      <c r="E689" s="5">
        <v>-29943</v>
      </c>
      <c r="F689" s="3" t="s">
        <v>1837</v>
      </c>
      <c r="G689" s="3" t="s">
        <v>106</v>
      </c>
      <c r="H689" s="2" t="s">
        <v>36</v>
      </c>
      <c r="I689" s="2" t="s">
        <v>1838</v>
      </c>
      <c r="J689" s="3" t="str">
        <f>HYPERLINK("https://www.boe.es/gazeta/dias/1818/01/06/pdfs/GMD-1818-3.pdf#page=5","Abrir facsímil")</f>
        <v>Abrir facsímil</v>
      </c>
      <c r="K689" s="3" t="s">
        <v>38</v>
      </c>
    </row>
    <row r="690" spans="1:11" ht="42" customHeight="1">
      <c r="A690" s="2" t="s">
        <v>1839</v>
      </c>
      <c r="B690" s="2" t="s">
        <v>1840</v>
      </c>
      <c r="C690" s="2" t="s">
        <v>26</v>
      </c>
      <c r="D690" s="2" t="s">
        <v>27</v>
      </c>
      <c r="E690" s="5">
        <v>-29731</v>
      </c>
      <c r="F690" s="3" t="s">
        <v>299</v>
      </c>
      <c r="G690" s="3" t="s">
        <v>59</v>
      </c>
      <c r="H690" s="2" t="s">
        <v>36</v>
      </c>
      <c r="I690" s="2" t="s">
        <v>1841</v>
      </c>
      <c r="J690" s="3" t="str">
        <f>HYPERLINK("https://www.boe.es/gazeta/dias/1818/08/06/pdfs/GMD-1818-94.pdf#page=6","Abrir facsímil")</f>
        <v>Abrir facsímil</v>
      </c>
      <c r="K690" s="3" t="s">
        <v>38</v>
      </c>
    </row>
    <row r="691" spans="1:11" ht="42" customHeight="1">
      <c r="A691" s="2" t="s">
        <v>1842</v>
      </c>
      <c r="B691" s="2" t="s">
        <v>1843</v>
      </c>
      <c r="C691" s="2" t="s">
        <v>26</v>
      </c>
      <c r="D691" s="2" t="s">
        <v>27</v>
      </c>
      <c r="E691" s="5">
        <v>-29724</v>
      </c>
      <c r="F691" s="3" t="s">
        <v>370</v>
      </c>
      <c r="G691" s="3" t="s">
        <v>29</v>
      </c>
      <c r="H691" s="2" t="s">
        <v>36</v>
      </c>
      <c r="I691" s="2" t="s">
        <v>1844</v>
      </c>
      <c r="J691" s="3" t="str">
        <f>HYPERLINK("https://www.boe.es/gazeta/dias/1818/08/13/pdfs/GMD-1818-97.pdf#page=4","Abrir facsímil")</f>
        <v>Abrir facsímil</v>
      </c>
      <c r="K691" s="3" t="s">
        <v>38</v>
      </c>
    </row>
    <row r="692" spans="1:11" ht="42" customHeight="1">
      <c r="A692" s="2" t="s">
        <v>1845</v>
      </c>
      <c r="B692" s="2" t="s">
        <v>1846</v>
      </c>
      <c r="C692" s="2" t="s">
        <v>26</v>
      </c>
      <c r="D692" s="2" t="s">
        <v>27</v>
      </c>
      <c r="E692" s="5">
        <v>-29694</v>
      </c>
      <c r="F692" s="3" t="s">
        <v>528</v>
      </c>
      <c r="G692" s="3" t="s">
        <v>106</v>
      </c>
      <c r="H692" s="2" t="s">
        <v>36</v>
      </c>
      <c r="I692" s="2" t="s">
        <v>1847</v>
      </c>
      <c r="J692" s="3" t="str">
        <f>HYPERLINK("https://www.boe.es/gazeta/dias/1818/09/12/pdfs/GMD-1818-110.pdf#page=5","Abrir facsímil")</f>
        <v>Abrir facsímil</v>
      </c>
      <c r="K692" s="3" t="s">
        <v>38</v>
      </c>
    </row>
    <row r="693" spans="1:11" ht="42" customHeight="1">
      <c r="A693" s="2" t="s">
        <v>1848</v>
      </c>
      <c r="B693" s="2" t="s">
        <v>1849</v>
      </c>
      <c r="C693" s="2" t="s">
        <v>26</v>
      </c>
      <c r="D693" s="2" t="s">
        <v>27</v>
      </c>
      <c r="E693" s="5">
        <v>-29724</v>
      </c>
      <c r="F693" s="3" t="s">
        <v>370</v>
      </c>
      <c r="G693" s="3" t="s">
        <v>106</v>
      </c>
      <c r="H693" s="2" t="s">
        <v>36</v>
      </c>
      <c r="I693" s="2" t="s">
        <v>1850</v>
      </c>
      <c r="J693" s="3" t="str">
        <f>HYPERLINK("https://www.boe.es/gazeta/dias/1818/08/13/pdfs/GMD-1818-97.pdf#page=5","Abrir facsímil")</f>
        <v>Abrir facsímil</v>
      </c>
      <c r="K693" s="3" t="s">
        <v>38</v>
      </c>
    </row>
    <row r="694" spans="1:11" ht="42" customHeight="1">
      <c r="A694" s="2" t="s">
        <v>1851</v>
      </c>
      <c r="B694" s="2" t="s">
        <v>1851</v>
      </c>
      <c r="C694" s="2" t="s">
        <v>26</v>
      </c>
      <c r="D694" s="2" t="s">
        <v>27</v>
      </c>
      <c r="E694" s="5">
        <v>-29710</v>
      </c>
      <c r="F694" s="3" t="s">
        <v>1026</v>
      </c>
      <c r="G694" s="3" t="s">
        <v>85</v>
      </c>
      <c r="H694" s="2" t="s">
        <v>36</v>
      </c>
      <c r="I694" s="2" t="s">
        <v>1852</v>
      </c>
      <c r="J694" s="3" t="str">
        <f>HYPERLINK("https://www.boe.es/gazeta/dias/1818/08/27/pdfs/GMD-1818-103.pdf#page=3","Abrir facsímil")</f>
        <v>Abrir facsímil</v>
      </c>
      <c r="K694" s="3" t="s">
        <v>38</v>
      </c>
    </row>
    <row r="695" spans="1:11" ht="42" customHeight="1">
      <c r="A695" s="2" t="s">
        <v>1853</v>
      </c>
      <c r="B695" s="2" t="s">
        <v>1853</v>
      </c>
      <c r="C695" s="2" t="s">
        <v>26</v>
      </c>
      <c r="D695" s="2" t="s">
        <v>27</v>
      </c>
      <c r="E695" s="5">
        <v>-29908</v>
      </c>
      <c r="F695" s="3" t="s">
        <v>695</v>
      </c>
      <c r="G695" s="3" t="s">
        <v>85</v>
      </c>
      <c r="H695" s="2" t="s">
        <v>36</v>
      </c>
      <c r="I695" s="2" t="s">
        <v>1854</v>
      </c>
      <c r="J695" s="3" t="str">
        <f>HYPERLINK("https://www.boe.es/gazeta/dias/1818/02/10/pdfs/GMD-1818-18.pdf#page=3","Abrir facsímil")</f>
        <v>Abrir facsímil</v>
      </c>
      <c r="K695" s="3" t="s">
        <v>38</v>
      </c>
    </row>
    <row r="696" spans="1:11" ht="42" customHeight="1">
      <c r="A696" s="2" t="s">
        <v>1855</v>
      </c>
      <c r="B696" s="2" t="s">
        <v>1856</v>
      </c>
      <c r="C696" s="2" t="s">
        <v>26</v>
      </c>
      <c r="D696" s="2" t="s">
        <v>27</v>
      </c>
      <c r="E696" s="5">
        <v>-29761</v>
      </c>
      <c r="F696" s="3" t="s">
        <v>168</v>
      </c>
      <c r="G696" s="3" t="s">
        <v>1238</v>
      </c>
      <c r="H696" s="2" t="s">
        <v>36</v>
      </c>
      <c r="I696" s="2" t="s">
        <v>1857</v>
      </c>
      <c r="J696" s="3" t="str">
        <f>HYPERLINK("https://www.boe.es/gazeta/dias/1818/07/07/pdfs/GMD-1818-81.pdf#page=8","Abrir facsímil")</f>
        <v>Abrir facsímil</v>
      </c>
      <c r="K696" s="3" t="s">
        <v>38</v>
      </c>
    </row>
    <row r="697" spans="1:11" ht="42" customHeight="1">
      <c r="A697" s="2" t="s">
        <v>1858</v>
      </c>
      <c r="B697" s="2" t="s">
        <v>1859</v>
      </c>
      <c r="C697" s="2" t="s">
        <v>26</v>
      </c>
      <c r="D697" s="2" t="s">
        <v>27</v>
      </c>
      <c r="E697" s="5">
        <v>-29663</v>
      </c>
      <c r="F697" s="3" t="s">
        <v>1011</v>
      </c>
      <c r="G697" s="3" t="s">
        <v>45</v>
      </c>
      <c r="H697" s="2" t="s">
        <v>36</v>
      </c>
      <c r="I697" s="2" t="s">
        <v>1860</v>
      </c>
      <c r="J697" s="3" t="str">
        <f>HYPERLINK("https://www.boe.es/gazeta/dias/1818/10/13/pdfs/GMD-1818-123.pdf#page=8","Abrir facsímil")</f>
        <v>Abrir facsímil</v>
      </c>
      <c r="K697" s="3" t="s">
        <v>38</v>
      </c>
    </row>
    <row r="698" spans="1:11" ht="42" customHeight="1">
      <c r="A698" s="2" t="s">
        <v>1861</v>
      </c>
      <c r="B698" s="2" t="s">
        <v>1861</v>
      </c>
      <c r="C698" s="2" t="s">
        <v>26</v>
      </c>
      <c r="D698" s="2" t="s">
        <v>27</v>
      </c>
      <c r="E698" s="5">
        <v>-29598</v>
      </c>
      <c r="F698" s="3" t="s">
        <v>98</v>
      </c>
      <c r="G698" s="3" t="s">
        <v>29</v>
      </c>
      <c r="H698" s="2" t="s">
        <v>36</v>
      </c>
      <c r="I698" s="2" t="s">
        <v>1862</v>
      </c>
      <c r="J698" s="3" t="str">
        <f>HYPERLINK("https://www.boe.es/gazeta/dias/1818/12/17/pdfs/GMD-1818-152.pdf#page=4","Abrir facsímil")</f>
        <v>Abrir facsímil</v>
      </c>
      <c r="K698" s="3" t="s">
        <v>38</v>
      </c>
    </row>
    <row r="699" spans="1:11" ht="42" customHeight="1">
      <c r="A699" s="2" t="s">
        <v>1863</v>
      </c>
      <c r="B699" s="2" t="s">
        <v>1864</v>
      </c>
      <c r="C699" s="2" t="s">
        <v>26</v>
      </c>
      <c r="D699" s="2" t="s">
        <v>27</v>
      </c>
      <c r="E699" s="5">
        <v>-29803</v>
      </c>
      <c r="F699" s="3" t="s">
        <v>1393</v>
      </c>
      <c r="G699" s="3" t="s">
        <v>1522</v>
      </c>
      <c r="H699" s="2" t="s">
        <v>36</v>
      </c>
      <c r="I699" s="2" t="s">
        <v>1865</v>
      </c>
      <c r="J699" s="3" t="str">
        <f>HYPERLINK("https://www.boe.es/gazeta/dias/1818/05/26/pdfs/GMD-1818-63.pdf#page=5","Abrir facsímil")</f>
        <v>Abrir facsímil</v>
      </c>
      <c r="K699" s="3" t="s">
        <v>38</v>
      </c>
    </row>
    <row r="700" spans="1:11" ht="42" customHeight="1">
      <c r="A700" s="2" t="s">
        <v>1866</v>
      </c>
      <c r="B700" s="2" t="s">
        <v>1867</v>
      </c>
      <c r="C700" s="2" t="s">
        <v>97</v>
      </c>
      <c r="D700" s="2" t="s">
        <v>18</v>
      </c>
      <c r="E700" s="5">
        <v>-29596</v>
      </c>
      <c r="F700" s="3" t="s">
        <v>555</v>
      </c>
      <c r="G700" s="3" t="s">
        <v>20</v>
      </c>
      <c r="H700" s="2" t="s">
        <v>36</v>
      </c>
      <c r="I700" s="2" t="s">
        <v>1868</v>
      </c>
      <c r="J700" s="3" t="str">
        <f>HYPERLINK("https://www.boe.es/gazeta/dias/1818/12/19/pdfs/GMD-1818-153.pdf#page=7","Abrir facsímil")</f>
        <v>Abrir facsímil</v>
      </c>
      <c r="K700" s="3" t="s">
        <v>38</v>
      </c>
    </row>
    <row r="701" spans="1:11" ht="42" customHeight="1">
      <c r="A701" s="2" t="s">
        <v>1869</v>
      </c>
      <c r="B701" s="2" t="s">
        <v>1869</v>
      </c>
      <c r="C701" s="2" t="s">
        <v>26</v>
      </c>
      <c r="D701" s="2" t="s">
        <v>27</v>
      </c>
      <c r="E701" s="5">
        <v>-29834</v>
      </c>
      <c r="F701" s="3" t="s">
        <v>457</v>
      </c>
      <c r="G701" s="3" t="s">
        <v>120</v>
      </c>
      <c r="H701" s="2" t="s">
        <v>36</v>
      </c>
      <c r="I701" s="2" t="s">
        <v>1870</v>
      </c>
      <c r="J701" s="3" t="str">
        <f>HYPERLINK("https://www.boe.es/gazeta/dias/1818/04/25/pdfs/GMD-1818-50.pdf#page=2","Abrir facsímil")</f>
        <v>Abrir facsímil</v>
      </c>
      <c r="K701" s="3" t="s">
        <v>38</v>
      </c>
    </row>
    <row r="702" spans="1:11" ht="42" customHeight="1">
      <c r="A702" s="2" t="s">
        <v>1871</v>
      </c>
      <c r="B702" s="2" t="s">
        <v>1871</v>
      </c>
      <c r="C702" s="2" t="s">
        <v>17</v>
      </c>
      <c r="D702" s="2" t="s">
        <v>18</v>
      </c>
      <c r="E702" s="5">
        <v>-29645</v>
      </c>
      <c r="F702" s="3" t="s">
        <v>577</v>
      </c>
      <c r="G702" s="3" t="s">
        <v>85</v>
      </c>
      <c r="H702" s="2" t="s">
        <v>36</v>
      </c>
      <c r="I702" s="2" t="s">
        <v>1872</v>
      </c>
      <c r="J702" s="3" t="str">
        <f>HYPERLINK("https://www.boe.es/gazeta/dias/1818/10/31/pdfs/GMD-1818-132.pdf#page=3","Abrir facsímil")</f>
        <v>Abrir facsímil</v>
      </c>
      <c r="K702" s="3" t="s">
        <v>38</v>
      </c>
    </row>
    <row r="703" spans="1:11" ht="42" customHeight="1">
      <c r="A703" s="2" t="s">
        <v>1873</v>
      </c>
      <c r="B703" s="2" t="s">
        <v>1874</v>
      </c>
      <c r="C703" s="2" t="s">
        <v>17</v>
      </c>
      <c r="D703" s="2" t="s">
        <v>18</v>
      </c>
      <c r="E703" s="5">
        <v>-29631</v>
      </c>
      <c r="F703" s="3" t="s">
        <v>743</v>
      </c>
      <c r="G703" s="3" t="s">
        <v>59</v>
      </c>
      <c r="H703" s="2" t="s">
        <v>36</v>
      </c>
      <c r="I703" s="2" t="s">
        <v>1875</v>
      </c>
      <c r="J703" s="3" t="str">
        <f>HYPERLINK("https://www.boe.es/gazeta/dias/1818/11/14/pdfs/GMD-1818-138.pdf#page=6","Abrir facsímil")</f>
        <v>Abrir facsímil</v>
      </c>
      <c r="K703" s="3" t="s">
        <v>38</v>
      </c>
    </row>
    <row r="704" spans="1:11" ht="42" customHeight="1">
      <c r="A704" s="2" t="s">
        <v>1876</v>
      </c>
      <c r="B704" s="2" t="s">
        <v>1877</v>
      </c>
      <c r="C704" s="2" t="s">
        <v>57</v>
      </c>
      <c r="D704" s="2" t="s">
        <v>18</v>
      </c>
      <c r="E704" s="5">
        <v>-29871</v>
      </c>
      <c r="F704" s="3" t="s">
        <v>641</v>
      </c>
      <c r="G704" s="3" t="s">
        <v>978</v>
      </c>
      <c r="H704" s="2" t="s">
        <v>36</v>
      </c>
      <c r="I704" s="2" t="s">
        <v>1878</v>
      </c>
      <c r="J704" s="3" t="str">
        <f>HYPERLINK("https://www.boe.es/gazeta/dias/1818/03/19/pdfs/GMD-1818-34.pdf#page=5","Abrir facsímil")</f>
        <v>Abrir facsímil</v>
      </c>
      <c r="K704" s="3" t="s">
        <v>38</v>
      </c>
    </row>
    <row r="705" spans="1:11" ht="42" customHeight="1">
      <c r="A705" s="2" t="s">
        <v>1879</v>
      </c>
      <c r="B705" s="2" t="s">
        <v>1880</v>
      </c>
      <c r="C705" s="2" t="s">
        <v>57</v>
      </c>
      <c r="D705" s="2" t="s">
        <v>18</v>
      </c>
      <c r="E705" s="5">
        <v>-29757</v>
      </c>
      <c r="F705" s="3" t="s">
        <v>115</v>
      </c>
      <c r="G705" s="3" t="s">
        <v>116</v>
      </c>
      <c r="H705" s="2" t="s">
        <v>36</v>
      </c>
      <c r="I705" s="2" t="s">
        <v>1881</v>
      </c>
      <c r="J705" s="3" t="str">
        <f>HYPERLINK("https://www.boe.es/gazeta/dias/1818/07/11/pdfs/GMD-1818-83.pdf#page=12","Abrir facsímil")</f>
        <v>Abrir facsímil</v>
      </c>
      <c r="K705" s="3" t="s">
        <v>38</v>
      </c>
    </row>
    <row r="706" spans="1:11" ht="42" customHeight="1">
      <c r="A706" s="2" t="s">
        <v>1882</v>
      </c>
      <c r="B706" s="2" t="s">
        <v>1883</v>
      </c>
      <c r="C706" s="2" t="s">
        <v>63</v>
      </c>
      <c r="D706" s="2" t="s">
        <v>18</v>
      </c>
      <c r="E706" s="5">
        <v>-29661</v>
      </c>
      <c r="F706" s="3" t="s">
        <v>348</v>
      </c>
      <c r="G706" s="3" t="s">
        <v>349</v>
      </c>
      <c r="H706" s="2" t="s">
        <v>36</v>
      </c>
      <c r="I706" s="2" t="s">
        <v>1884</v>
      </c>
      <c r="J706" s="3" t="str">
        <f>HYPERLINK("https://www.boe.es/gazeta/dias/1818/10/15/pdfs/GMD-1818-124.pdf#page=8","Abrir facsímil")</f>
        <v>Abrir facsímil</v>
      </c>
      <c r="K706" s="3" t="s">
        <v>38</v>
      </c>
    </row>
    <row r="707" spans="1:11" ht="42" customHeight="1">
      <c r="A707" s="2" t="s">
        <v>1885</v>
      </c>
      <c r="B707" s="2" t="s">
        <v>1886</v>
      </c>
      <c r="C707" s="2" t="s">
        <v>17</v>
      </c>
      <c r="D707" s="2" t="s">
        <v>18</v>
      </c>
      <c r="E707" s="5">
        <v>-29663</v>
      </c>
      <c r="F707" s="3" t="s">
        <v>1011</v>
      </c>
      <c r="G707" s="3" t="s">
        <v>59</v>
      </c>
      <c r="H707" s="2" t="s">
        <v>36</v>
      </c>
      <c r="I707" s="2" t="s">
        <v>1887</v>
      </c>
      <c r="J707" s="3" t="str">
        <f>HYPERLINK("https://www.boe.es/gazeta/dias/1818/10/13/pdfs/GMD-1818-123.pdf#page=6","Abrir facsímil")</f>
        <v>Abrir facsímil</v>
      </c>
      <c r="K707" s="3" t="s">
        <v>38</v>
      </c>
    </row>
    <row r="708" spans="1:11" ht="42" customHeight="1">
      <c r="A708" s="2" t="s">
        <v>1888</v>
      </c>
      <c r="B708" s="2" t="s">
        <v>1889</v>
      </c>
      <c r="C708" s="2" t="s">
        <v>26</v>
      </c>
      <c r="D708" s="2" t="s">
        <v>27</v>
      </c>
      <c r="E708" s="5">
        <v>-29803</v>
      </c>
      <c r="F708" s="3" t="s">
        <v>1393</v>
      </c>
      <c r="G708" s="3" t="s">
        <v>49</v>
      </c>
      <c r="H708" s="2" t="s">
        <v>36</v>
      </c>
      <c r="I708" s="2" t="s">
        <v>1890</v>
      </c>
      <c r="J708" s="3" t="str">
        <f>HYPERLINK("https://www.boe.es/gazeta/dias/1818/05/26/pdfs/GMD-1818-63.pdf#page=1","Abrir facsímil")</f>
        <v>Abrir facsímil</v>
      </c>
      <c r="K708" s="3" t="s">
        <v>38</v>
      </c>
    </row>
    <row r="709" spans="1:11" ht="42" customHeight="1">
      <c r="A709" s="2" t="s">
        <v>1891</v>
      </c>
      <c r="B709" s="2" t="s">
        <v>1891</v>
      </c>
      <c r="C709" s="2" t="s">
        <v>97</v>
      </c>
      <c r="D709" s="2" t="s">
        <v>18</v>
      </c>
      <c r="E709" s="5">
        <v>-29743</v>
      </c>
      <c r="F709" s="3" t="s">
        <v>734</v>
      </c>
      <c r="G709" s="3" t="s">
        <v>49</v>
      </c>
      <c r="H709" s="2" t="s">
        <v>36</v>
      </c>
      <c r="I709" s="2" t="s">
        <v>1892</v>
      </c>
      <c r="J709" s="3" t="str">
        <f>HYPERLINK("https://www.boe.es/gazeta/dias/1818/07/25/pdfs/GMD-1818-89.pdf#page=1","Abrir facsímil")</f>
        <v>Abrir facsímil</v>
      </c>
      <c r="K709" s="3" t="s">
        <v>38</v>
      </c>
    </row>
    <row r="710" spans="1:11" ht="42" customHeight="1">
      <c r="A710" s="2" t="s">
        <v>1893</v>
      </c>
      <c r="B710" s="2" t="s">
        <v>1893</v>
      </c>
      <c r="C710" s="2" t="s">
        <v>26</v>
      </c>
      <c r="D710" s="2" t="s">
        <v>27</v>
      </c>
      <c r="E710" s="5">
        <v>-29789</v>
      </c>
      <c r="F710" s="3" t="s">
        <v>937</v>
      </c>
      <c r="G710" s="3" t="s">
        <v>49</v>
      </c>
      <c r="H710" s="2" t="s">
        <v>36</v>
      </c>
      <c r="I710" s="2" t="s">
        <v>1894</v>
      </c>
      <c r="J710" s="3" t="str">
        <f>HYPERLINK("https://www.boe.es/gazeta/dias/1818/06/09/pdfs/GMD-1818-69.pdf#page=1","Abrir facsímil")</f>
        <v>Abrir facsímil</v>
      </c>
      <c r="K710" s="3" t="s">
        <v>38</v>
      </c>
    </row>
    <row r="711" spans="1:11" ht="42" customHeight="1">
      <c r="A711" s="2" t="s">
        <v>1895</v>
      </c>
      <c r="B711" s="2" t="s">
        <v>1896</v>
      </c>
      <c r="C711" s="2" t="s">
        <v>17</v>
      </c>
      <c r="D711" s="2" t="s">
        <v>18</v>
      </c>
      <c r="E711" s="5">
        <v>-29631</v>
      </c>
      <c r="F711" s="3" t="s">
        <v>743</v>
      </c>
      <c r="G711" s="3" t="s">
        <v>106</v>
      </c>
      <c r="H711" s="2" t="s">
        <v>36</v>
      </c>
      <c r="I711" s="2" t="s">
        <v>1897</v>
      </c>
      <c r="J711" s="3" t="str">
        <f>HYPERLINK("https://www.boe.es/gazeta/dias/1818/11/14/pdfs/GMD-1818-138.pdf#page=5","Abrir facsímil")</f>
        <v>Abrir facsímil</v>
      </c>
      <c r="K711" s="3" t="s">
        <v>38</v>
      </c>
    </row>
    <row r="712" spans="1:11" ht="42" customHeight="1">
      <c r="A712" s="2" t="s">
        <v>1898</v>
      </c>
      <c r="B712" s="2" t="s">
        <v>1899</v>
      </c>
      <c r="C712" s="2" t="s">
        <v>26</v>
      </c>
      <c r="D712" s="2" t="s">
        <v>27</v>
      </c>
      <c r="E712" s="5">
        <v>-29691</v>
      </c>
      <c r="F712" s="3" t="s">
        <v>144</v>
      </c>
      <c r="G712" s="3" t="s">
        <v>29</v>
      </c>
      <c r="H712" s="2" t="s">
        <v>36</v>
      </c>
      <c r="I712" s="2" t="s">
        <v>1900</v>
      </c>
      <c r="J712" s="3" t="str">
        <f>HYPERLINK("https://www.boe.es/gazeta/dias/1818/09/15/pdfs/GMD-1818-111.pdf#page=4","Abrir facsímil")</f>
        <v>Abrir facsímil</v>
      </c>
      <c r="K712" s="3" t="s">
        <v>38</v>
      </c>
    </row>
    <row r="713" spans="1:11" ht="42" customHeight="1">
      <c r="A713" s="2" t="s">
        <v>1898</v>
      </c>
      <c r="B713" s="2" t="s">
        <v>1899</v>
      </c>
      <c r="C713" s="2" t="s">
        <v>17</v>
      </c>
      <c r="D713" s="2" t="s">
        <v>18</v>
      </c>
      <c r="E713" s="5">
        <v>-29680</v>
      </c>
      <c r="F713" s="3" t="s">
        <v>865</v>
      </c>
      <c r="G713" s="3" t="s">
        <v>20</v>
      </c>
      <c r="H713" s="2" t="s">
        <v>36</v>
      </c>
      <c r="I713" s="2" t="s">
        <v>1901</v>
      </c>
      <c r="J713" s="3" t="str">
        <f>HYPERLINK("https://www.boe.es/gazeta/dias/1818/09/26/pdfs/GMD-1818-116.pdf#page=7","Abrir facsímil")</f>
        <v>Abrir facsímil</v>
      </c>
      <c r="K713" s="3" t="s">
        <v>38</v>
      </c>
    </row>
    <row r="714" spans="1:11" ht="42" customHeight="1">
      <c r="A714" s="2" t="s">
        <v>1902</v>
      </c>
      <c r="B714" s="2" t="s">
        <v>1903</v>
      </c>
      <c r="C714" s="2" t="s">
        <v>17</v>
      </c>
      <c r="D714" s="2" t="s">
        <v>18</v>
      </c>
      <c r="E714" s="5">
        <v>-29691</v>
      </c>
      <c r="F714" s="3" t="s">
        <v>144</v>
      </c>
      <c r="G714" s="3" t="s">
        <v>1904</v>
      </c>
      <c r="H714" s="2" t="s">
        <v>36</v>
      </c>
      <c r="I714" s="2" t="s">
        <v>1905</v>
      </c>
      <c r="J714" s="3" t="str">
        <f>HYPERLINK("https://www.boe.es/gazeta/dias/1818/09/15/pdfs/GMD-1818-111.pdf#page=5","Abrir facsímil")</f>
        <v>Abrir facsímil</v>
      </c>
      <c r="K714" s="3" t="s">
        <v>38</v>
      </c>
    </row>
    <row r="715" spans="1:11" ht="42" customHeight="1">
      <c r="A715" s="2" t="s">
        <v>1906</v>
      </c>
      <c r="B715" s="2" t="s">
        <v>1907</v>
      </c>
      <c r="C715" s="2" t="s">
        <v>63</v>
      </c>
      <c r="D715" s="2" t="s">
        <v>18</v>
      </c>
      <c r="E715" s="5">
        <v>-29619</v>
      </c>
      <c r="F715" s="3" t="s">
        <v>64</v>
      </c>
      <c r="G715" s="3" t="s">
        <v>20</v>
      </c>
      <c r="H715" s="2" t="s">
        <v>36</v>
      </c>
      <c r="I715" s="2" t="s">
        <v>1908</v>
      </c>
      <c r="J715" s="3" t="str">
        <f>HYPERLINK("https://www.boe.es/gazeta/dias/1818/11/26/pdfs/GMD-1818-143.pdf#page=7","Abrir facsímil")</f>
        <v>Abrir facsímil</v>
      </c>
      <c r="K715" s="3" t="s">
        <v>38</v>
      </c>
    </row>
    <row r="716" spans="1:11" ht="42" customHeight="1">
      <c r="A716" s="2" t="s">
        <v>1909</v>
      </c>
      <c r="B716" s="2" t="s">
        <v>1910</v>
      </c>
      <c r="C716" s="2" t="s">
        <v>57</v>
      </c>
      <c r="D716" s="2" t="s">
        <v>18</v>
      </c>
      <c r="E716" s="5">
        <v>-29726</v>
      </c>
      <c r="F716" s="3" t="s">
        <v>70</v>
      </c>
      <c r="G716" s="3" t="s">
        <v>71</v>
      </c>
      <c r="H716" s="2" t="s">
        <v>21</v>
      </c>
      <c r="I716" s="2" t="s">
        <v>1911</v>
      </c>
      <c r="J716" s="3" t="str">
        <f>HYPERLINK("https://www.boe.es/gazeta/dias/1818/08/11/pdfs/GMD-1818-96.pdf#page=16","Abrir facsímil")</f>
        <v>Abrir facsímil</v>
      </c>
      <c r="K716" s="3" t="s">
        <v>23</v>
      </c>
    </row>
    <row r="717" spans="1:11" ht="42" customHeight="1">
      <c r="A717" s="2" t="s">
        <v>1912</v>
      </c>
      <c r="B717" s="2" t="s">
        <v>1913</v>
      </c>
      <c r="C717" s="2" t="s">
        <v>68</v>
      </c>
      <c r="D717" s="2" t="s">
        <v>69</v>
      </c>
      <c r="E717" s="5">
        <v>-29610</v>
      </c>
      <c r="F717" s="3" t="s">
        <v>1441</v>
      </c>
      <c r="G717" s="3" t="s">
        <v>1914</v>
      </c>
      <c r="H717" s="2" t="s">
        <v>36</v>
      </c>
      <c r="I717" s="2" t="s">
        <v>1915</v>
      </c>
      <c r="J717" s="3" t="str">
        <f>HYPERLINK("https://www.boe.es/gazeta/dias/1818/12/05/pdfs/GMD-1818-147.pdf#page=6","Abrir facsímil")</f>
        <v>Abrir facsímil</v>
      </c>
      <c r="K717" s="3" t="s">
        <v>38</v>
      </c>
    </row>
    <row r="718" spans="1:11" ht="42" customHeight="1">
      <c r="A718" s="2" t="s">
        <v>1916</v>
      </c>
      <c r="B718" s="2" t="s">
        <v>1917</v>
      </c>
      <c r="C718" s="2" t="s">
        <v>68</v>
      </c>
      <c r="D718" s="2" t="s">
        <v>69</v>
      </c>
      <c r="E718" s="5">
        <v>-29591</v>
      </c>
      <c r="F718" s="3" t="s">
        <v>1414</v>
      </c>
      <c r="G718" s="3" t="s">
        <v>1592</v>
      </c>
      <c r="H718" s="2" t="s">
        <v>36</v>
      </c>
      <c r="I718" s="2" t="s">
        <v>1918</v>
      </c>
      <c r="J718" s="3" t="str">
        <f>HYPERLINK("https://www.boe.es/gazeta/dias/1818/12/24/pdfs/GMD-1818-155.pdf#page=6","Abrir facsímil")</f>
        <v>Abrir facsímil</v>
      </c>
      <c r="K718" s="3" t="s">
        <v>38</v>
      </c>
    </row>
    <row r="719" spans="1:11" ht="42" customHeight="1">
      <c r="A719" s="2" t="s">
        <v>1919</v>
      </c>
      <c r="B719" s="2" t="s">
        <v>1920</v>
      </c>
      <c r="C719" s="2" t="s">
        <v>26</v>
      </c>
      <c r="D719" s="2" t="s">
        <v>27</v>
      </c>
      <c r="E719" s="5">
        <v>-29901</v>
      </c>
      <c r="F719" s="3" t="s">
        <v>417</v>
      </c>
      <c r="G719" s="3" t="s">
        <v>29</v>
      </c>
      <c r="H719" s="2" t="s">
        <v>36</v>
      </c>
      <c r="I719" s="2" t="s">
        <v>1921</v>
      </c>
      <c r="J719" s="3" t="str">
        <f>HYPERLINK("https://www.boe.es/gazeta/dias/1818/02/17/pdfs/GMD-1818-21.pdf#page=4","Abrir facsímil")</f>
        <v>Abrir facsímil</v>
      </c>
      <c r="K719" s="3" t="s">
        <v>38</v>
      </c>
    </row>
    <row r="720" spans="1:11" ht="42" customHeight="1">
      <c r="A720" s="2" t="s">
        <v>1922</v>
      </c>
      <c r="B720" s="2" t="s">
        <v>1923</v>
      </c>
      <c r="C720" s="2" t="s">
        <v>97</v>
      </c>
      <c r="D720" s="2" t="s">
        <v>18</v>
      </c>
      <c r="E720" s="5">
        <v>-29584</v>
      </c>
      <c r="F720" s="3" t="s">
        <v>1002</v>
      </c>
      <c r="G720" s="3" t="s">
        <v>20</v>
      </c>
      <c r="H720" s="2" t="s">
        <v>36</v>
      </c>
      <c r="I720" s="2" t="s">
        <v>1924</v>
      </c>
      <c r="J720" s="3" t="str">
        <f>HYPERLINK("https://www.boe.es/gazeta/dias/1818/12/31/pdfs/GMD-1818-159.pdf#page=7","Abrir facsímil")</f>
        <v>Abrir facsímil</v>
      </c>
      <c r="K720" s="3" t="s">
        <v>38</v>
      </c>
    </row>
    <row r="721" spans="1:11" ht="42" customHeight="1">
      <c r="A721" s="2" t="s">
        <v>1925</v>
      </c>
      <c r="B721" s="2" t="s">
        <v>1926</v>
      </c>
      <c r="C721" s="2" t="s">
        <v>26</v>
      </c>
      <c r="D721" s="2" t="s">
        <v>27</v>
      </c>
      <c r="E721" s="5">
        <v>-29913</v>
      </c>
      <c r="F721" s="3" t="s">
        <v>449</v>
      </c>
      <c r="G721" s="3" t="s">
        <v>45</v>
      </c>
      <c r="H721" s="2" t="s">
        <v>36</v>
      </c>
      <c r="I721" s="2" t="s">
        <v>1927</v>
      </c>
      <c r="J721" s="3" t="str">
        <f>HYPERLINK("https://www.boe.es/gazeta/dias/1818/02/05/pdfs/GMD-1818-16.pdf#page=8","Abrir facsímil")</f>
        <v>Abrir facsímil</v>
      </c>
      <c r="K721" s="3" t="s">
        <v>38</v>
      </c>
    </row>
    <row r="722" spans="1:11" ht="42" customHeight="1">
      <c r="A722" s="2" t="s">
        <v>1925</v>
      </c>
      <c r="B722" s="2" t="s">
        <v>1926</v>
      </c>
      <c r="C722" s="2" t="s">
        <v>26</v>
      </c>
      <c r="D722" s="2" t="s">
        <v>27</v>
      </c>
      <c r="E722" s="5">
        <v>-29897</v>
      </c>
      <c r="F722" s="3" t="s">
        <v>318</v>
      </c>
      <c r="G722" s="3" t="s">
        <v>29</v>
      </c>
      <c r="H722" s="2" t="s">
        <v>36</v>
      </c>
      <c r="I722" s="2" t="s">
        <v>1928</v>
      </c>
      <c r="J722" s="3" t="str">
        <f>HYPERLINK("https://www.boe.es/gazeta/dias/1818/02/21/pdfs/GMD-1818-23.pdf#page=4","Abrir facsímil")</f>
        <v>Abrir facsímil</v>
      </c>
      <c r="K722" s="3" t="s">
        <v>38</v>
      </c>
    </row>
    <row r="723" spans="1:11" ht="42" customHeight="1">
      <c r="A723" s="2" t="s">
        <v>1925</v>
      </c>
      <c r="B723" s="2" t="s">
        <v>1926</v>
      </c>
      <c r="C723" s="2" t="s">
        <v>26</v>
      </c>
      <c r="D723" s="2" t="s">
        <v>27</v>
      </c>
      <c r="E723" s="5">
        <v>-29897</v>
      </c>
      <c r="F723" s="3" t="s">
        <v>318</v>
      </c>
      <c r="G723" s="3" t="s">
        <v>106</v>
      </c>
      <c r="H723" s="2" t="s">
        <v>36</v>
      </c>
      <c r="I723" s="2" t="s">
        <v>1929</v>
      </c>
      <c r="J723" s="3" t="str">
        <f>HYPERLINK("https://www.boe.es/gazeta/dias/1818/02/21/pdfs/GMD-1818-23.pdf#page=5","Abrir facsímil")</f>
        <v>Abrir facsímil</v>
      </c>
      <c r="K723" s="3" t="s">
        <v>38</v>
      </c>
    </row>
    <row r="724" spans="1:11" ht="42" customHeight="1">
      <c r="A724" s="2" t="s">
        <v>1925</v>
      </c>
      <c r="B724" s="2" t="s">
        <v>1926</v>
      </c>
      <c r="C724" s="2" t="s">
        <v>26</v>
      </c>
      <c r="D724" s="2" t="s">
        <v>27</v>
      </c>
      <c r="E724" s="5">
        <v>-29887</v>
      </c>
      <c r="F724" s="3" t="s">
        <v>613</v>
      </c>
      <c r="G724" s="3" t="s">
        <v>59</v>
      </c>
      <c r="H724" s="2" t="s">
        <v>36</v>
      </c>
      <c r="I724" s="2" t="s">
        <v>1930</v>
      </c>
      <c r="J724" s="3" t="str">
        <f>HYPERLINK("https://www.boe.es/gazeta/dias/1818/03/03/pdfs/GMD-1818-27.pdf#page=6","Abrir facsímil")</f>
        <v>Abrir facsímil</v>
      </c>
      <c r="K724" s="3" t="s">
        <v>38</v>
      </c>
    </row>
    <row r="725" spans="1:11" ht="42" customHeight="1">
      <c r="A725" s="2" t="s">
        <v>1925</v>
      </c>
      <c r="B725" s="2" t="s">
        <v>1926</v>
      </c>
      <c r="C725" s="2" t="s">
        <v>26</v>
      </c>
      <c r="D725" s="2" t="s">
        <v>27</v>
      </c>
      <c r="E725" s="5">
        <v>-29598</v>
      </c>
      <c r="F725" s="3" t="s">
        <v>98</v>
      </c>
      <c r="G725" s="3" t="s">
        <v>29</v>
      </c>
      <c r="H725" s="2" t="s">
        <v>36</v>
      </c>
      <c r="I725" s="2" t="s">
        <v>1931</v>
      </c>
      <c r="J725" s="3" t="str">
        <f>HYPERLINK("https://www.boe.es/gazeta/dias/1818/12/17/pdfs/GMD-1818-152.pdf#page=4","Abrir facsímil")</f>
        <v>Abrir facsímil</v>
      </c>
      <c r="K725" s="3" t="s">
        <v>38</v>
      </c>
    </row>
    <row r="726" spans="1:11" ht="42" customHeight="1">
      <c r="A726" s="2" t="s">
        <v>1932</v>
      </c>
      <c r="B726" s="2" t="s">
        <v>1933</v>
      </c>
      <c r="C726" s="2" t="s">
        <v>215</v>
      </c>
      <c r="D726" s="2" t="s">
        <v>18</v>
      </c>
      <c r="E726" s="5">
        <v>-29598</v>
      </c>
      <c r="F726" s="3" t="s">
        <v>98</v>
      </c>
      <c r="G726" s="3" t="s">
        <v>20</v>
      </c>
      <c r="H726" s="2" t="s">
        <v>36</v>
      </c>
      <c r="I726" s="2" t="s">
        <v>1934</v>
      </c>
      <c r="J726" s="3" t="str">
        <f>HYPERLINK("https://www.boe.es/gazeta/dias/1818/12/17/pdfs/GMD-1818-152.pdf#page=7","Abrir facsímil")</f>
        <v>Abrir facsímil</v>
      </c>
      <c r="K726" s="3" t="s">
        <v>38</v>
      </c>
    </row>
    <row r="727" spans="1:11" ht="42" customHeight="1">
      <c r="A727" s="2" t="s">
        <v>1935</v>
      </c>
      <c r="B727" s="2" t="s">
        <v>1936</v>
      </c>
      <c r="C727" s="2" t="s">
        <v>26</v>
      </c>
      <c r="D727" s="2" t="s">
        <v>27</v>
      </c>
      <c r="E727" s="5">
        <v>-29845</v>
      </c>
      <c r="F727" s="3" t="s">
        <v>105</v>
      </c>
      <c r="G727" s="3" t="s">
        <v>85</v>
      </c>
      <c r="H727" s="2" t="s">
        <v>21</v>
      </c>
      <c r="I727" s="2" t="s">
        <v>1937</v>
      </c>
      <c r="J727" s="3" t="str">
        <f>HYPERLINK("https://www.boe.es/gazeta/dias/1818/04/14/pdfs/GMD-1818-45.pdf#page=3","Abrir facsímil")</f>
        <v>Abrir facsímil</v>
      </c>
      <c r="K727" s="3" t="s">
        <v>23</v>
      </c>
    </row>
    <row r="728" spans="1:11" ht="42" customHeight="1">
      <c r="A728" s="2" t="s">
        <v>1938</v>
      </c>
      <c r="B728" s="2" t="s">
        <v>1939</v>
      </c>
      <c r="C728" s="2" t="s">
        <v>26</v>
      </c>
      <c r="D728" s="2" t="s">
        <v>27</v>
      </c>
      <c r="E728" s="5">
        <v>-29652</v>
      </c>
      <c r="F728" s="3" t="s">
        <v>741</v>
      </c>
      <c r="G728" s="3" t="s">
        <v>45</v>
      </c>
      <c r="H728" s="2" t="s">
        <v>36</v>
      </c>
      <c r="I728" s="2" t="s">
        <v>1940</v>
      </c>
      <c r="J728" s="3" t="str">
        <f>HYPERLINK("https://www.boe.es/gazeta/dias/1818/10/24/pdfs/GMD-1818-129.pdf#page=8","Abrir facsímil")</f>
        <v>Abrir facsímil</v>
      </c>
      <c r="K728" s="3" t="s">
        <v>38</v>
      </c>
    </row>
    <row r="729" spans="1:11" ht="42" customHeight="1">
      <c r="A729" s="2" t="s">
        <v>1941</v>
      </c>
      <c r="B729" s="2" t="s">
        <v>1942</v>
      </c>
      <c r="C729" s="2" t="s">
        <v>26</v>
      </c>
      <c r="D729" s="2" t="s">
        <v>27</v>
      </c>
      <c r="E729" s="5">
        <v>-29845</v>
      </c>
      <c r="F729" s="3" t="s">
        <v>105</v>
      </c>
      <c r="G729" s="3" t="s">
        <v>106</v>
      </c>
      <c r="H729" s="2" t="s">
        <v>21</v>
      </c>
      <c r="I729" s="2" t="s">
        <v>1943</v>
      </c>
      <c r="J729" s="3" t="str">
        <f>HYPERLINK("https://www.boe.es/gazeta/dias/1818/04/14/pdfs/GMD-1818-45.pdf#page=5","Abrir facsímil")</f>
        <v>Abrir facsímil</v>
      </c>
      <c r="K729" s="3" t="s">
        <v>23</v>
      </c>
    </row>
    <row r="730" spans="1:11" ht="42" customHeight="1">
      <c r="A730" s="2" t="s">
        <v>1944</v>
      </c>
      <c r="B730" s="2" t="s">
        <v>1944</v>
      </c>
      <c r="C730" s="2" t="s">
        <v>26</v>
      </c>
      <c r="D730" s="2" t="s">
        <v>27</v>
      </c>
      <c r="E730" s="5">
        <v>-29897</v>
      </c>
      <c r="F730" s="3" t="s">
        <v>318</v>
      </c>
      <c r="G730" s="3" t="s">
        <v>29</v>
      </c>
      <c r="H730" s="2" t="s">
        <v>36</v>
      </c>
      <c r="I730" s="2" t="s">
        <v>1945</v>
      </c>
      <c r="J730" s="3" t="str">
        <f>HYPERLINK("https://www.boe.es/gazeta/dias/1818/02/21/pdfs/GMD-1818-23.pdf#page=4","Abrir facsímil")</f>
        <v>Abrir facsímil</v>
      </c>
      <c r="K730" s="3" t="s">
        <v>38</v>
      </c>
    </row>
    <row r="731" spans="1:11" ht="42" customHeight="1">
      <c r="A731" s="2" t="s">
        <v>1946</v>
      </c>
      <c r="B731" s="2" t="s">
        <v>1947</v>
      </c>
      <c r="C731" s="2" t="s">
        <v>68</v>
      </c>
      <c r="D731" s="2" t="s">
        <v>69</v>
      </c>
      <c r="E731" s="5">
        <v>-29782</v>
      </c>
      <c r="F731" s="3" t="s">
        <v>226</v>
      </c>
      <c r="G731" s="3" t="s">
        <v>20</v>
      </c>
      <c r="H731" s="2" t="s">
        <v>36</v>
      </c>
      <c r="I731" s="2" t="s">
        <v>1948</v>
      </c>
      <c r="J731" s="3" t="str">
        <f>HYPERLINK("https://www.boe.es/gazeta/dias/1818/06/16/pdfs/GMD-1818-72.pdf#page=7","Abrir facsímil")</f>
        <v>Abrir facsímil</v>
      </c>
      <c r="K731" s="3" t="s">
        <v>38</v>
      </c>
    </row>
    <row r="732" spans="1:11" ht="42" customHeight="1">
      <c r="A732" s="2" t="s">
        <v>1949</v>
      </c>
      <c r="B732" s="2" t="s">
        <v>1950</v>
      </c>
      <c r="C732" s="2" t="s">
        <v>26</v>
      </c>
      <c r="D732" s="2" t="s">
        <v>27</v>
      </c>
      <c r="E732" s="5">
        <v>-29733</v>
      </c>
      <c r="F732" s="3" t="s">
        <v>482</v>
      </c>
      <c r="G732" s="3" t="s">
        <v>106</v>
      </c>
      <c r="H732" s="2" t="s">
        <v>36</v>
      </c>
      <c r="I732" s="2" t="s">
        <v>1951</v>
      </c>
      <c r="J732" s="3" t="str">
        <f>HYPERLINK("https://www.boe.es/gazeta/dias/1818/08/04/pdfs/GMD-1818-93.pdf#page=5","Abrir facsímil")</f>
        <v>Abrir facsímil</v>
      </c>
      <c r="K732" s="3" t="s">
        <v>38</v>
      </c>
    </row>
    <row r="733" spans="1:11" ht="42" customHeight="1">
      <c r="A733" s="2" t="s">
        <v>1952</v>
      </c>
      <c r="B733" s="2" t="s">
        <v>1952</v>
      </c>
      <c r="C733" s="2" t="s">
        <v>215</v>
      </c>
      <c r="D733" s="2" t="s">
        <v>18</v>
      </c>
      <c r="E733" s="5">
        <v>-29799</v>
      </c>
      <c r="F733" s="3" t="s">
        <v>135</v>
      </c>
      <c r="G733" s="3" t="s">
        <v>29</v>
      </c>
      <c r="H733" s="2" t="s">
        <v>36</v>
      </c>
      <c r="I733" s="2" t="s">
        <v>1953</v>
      </c>
      <c r="J733" s="3" t="str">
        <f>HYPERLINK("https://www.boe.es/gazeta/dias/1818/05/30/pdfs/GMD-1818-65.pdf#page=4","Abrir facsímil")</f>
        <v>Abrir facsímil</v>
      </c>
      <c r="K733" s="3" t="s">
        <v>38</v>
      </c>
    </row>
    <row r="734" spans="1:11" ht="42" customHeight="1">
      <c r="A734" s="2" t="s">
        <v>1954</v>
      </c>
      <c r="B734" s="2" t="s">
        <v>1955</v>
      </c>
      <c r="C734" s="2" t="s">
        <v>17</v>
      </c>
      <c r="D734" s="2" t="s">
        <v>18</v>
      </c>
      <c r="E734" s="5">
        <v>-29698</v>
      </c>
      <c r="F734" s="3" t="s">
        <v>148</v>
      </c>
      <c r="G734" s="3" t="s">
        <v>29</v>
      </c>
      <c r="H734" s="2" t="s">
        <v>36</v>
      </c>
      <c r="I734" s="2" t="s">
        <v>1956</v>
      </c>
      <c r="J734" s="3" t="str">
        <f>HYPERLINK("https://www.boe.es/gazeta/dias/1818/09/08/pdfs/GMD-1818-108.pdf#page=4","Abrir facsímil")</f>
        <v>Abrir facsímil</v>
      </c>
      <c r="K734" s="3" t="s">
        <v>38</v>
      </c>
    </row>
    <row r="735" spans="1:11" ht="42" customHeight="1">
      <c r="A735" s="2" t="s">
        <v>1957</v>
      </c>
      <c r="B735" s="2" t="s">
        <v>1958</v>
      </c>
      <c r="C735" s="2" t="s">
        <v>26</v>
      </c>
      <c r="D735" s="2" t="s">
        <v>27</v>
      </c>
      <c r="E735" s="5">
        <v>-29934</v>
      </c>
      <c r="F735" s="3" t="s">
        <v>53</v>
      </c>
      <c r="G735" s="3" t="s">
        <v>106</v>
      </c>
      <c r="H735" s="2" t="s">
        <v>36</v>
      </c>
      <c r="I735" s="2" t="s">
        <v>1959</v>
      </c>
      <c r="J735" s="3" t="str">
        <f>HYPERLINK("https://www.boe.es/gazeta/dias/1818/01/15/pdfs/GMD-1818-7.pdf#page=5","Abrir facsímil")</f>
        <v>Abrir facsímil</v>
      </c>
      <c r="K735" s="3" t="s">
        <v>38</v>
      </c>
    </row>
    <row r="736" spans="1:11" ht="42" customHeight="1">
      <c r="A736" s="2" t="s">
        <v>1960</v>
      </c>
      <c r="B736" s="2" t="s">
        <v>1961</v>
      </c>
      <c r="C736" s="2" t="s">
        <v>57</v>
      </c>
      <c r="D736" s="2" t="s">
        <v>18</v>
      </c>
      <c r="E736" s="5">
        <v>-29810</v>
      </c>
      <c r="F736" s="3" t="s">
        <v>222</v>
      </c>
      <c r="G736" s="3" t="s">
        <v>45</v>
      </c>
      <c r="H736" s="2" t="s">
        <v>21</v>
      </c>
      <c r="I736" s="2" t="s">
        <v>1962</v>
      </c>
      <c r="J736" s="3" t="str">
        <f>HYPERLINK("https://www.boe.es/gazeta/dias/1818/05/19/pdfs/GMD-1818-60.pdf#page=8","Abrir facsímil")</f>
        <v>Abrir facsímil</v>
      </c>
      <c r="K736" s="3" t="s">
        <v>23</v>
      </c>
    </row>
    <row r="737" spans="1:11" ht="42" customHeight="1">
      <c r="A737" s="2" t="s">
        <v>1963</v>
      </c>
      <c r="B737" s="2" t="s">
        <v>1964</v>
      </c>
      <c r="C737" s="2" t="s">
        <v>26</v>
      </c>
      <c r="D737" s="2" t="s">
        <v>27</v>
      </c>
      <c r="E737" s="5">
        <v>-29593</v>
      </c>
      <c r="F737" s="3" t="s">
        <v>185</v>
      </c>
      <c r="G737" s="3" t="s">
        <v>45</v>
      </c>
      <c r="H737" s="2" t="s">
        <v>21</v>
      </c>
      <c r="I737" s="2" t="s">
        <v>1965</v>
      </c>
      <c r="J737" s="3" t="str">
        <f>HYPERLINK("https://www.boe.es/gazeta/dias/1818/12/22/pdfs/GMD-1818-154.pdf#page=8","Abrir facsímil")</f>
        <v>Abrir facsímil</v>
      </c>
      <c r="K737" s="3" t="s">
        <v>23</v>
      </c>
    </row>
    <row r="738" spans="1:11" ht="42" customHeight="1">
      <c r="A738" s="2" t="s">
        <v>1966</v>
      </c>
      <c r="B738" s="2" t="s">
        <v>1967</v>
      </c>
      <c r="C738" s="2" t="s">
        <v>57</v>
      </c>
      <c r="D738" s="2" t="s">
        <v>18</v>
      </c>
      <c r="E738" s="5">
        <v>-29642</v>
      </c>
      <c r="F738" s="3" t="s">
        <v>248</v>
      </c>
      <c r="G738" s="3" t="s">
        <v>249</v>
      </c>
      <c r="H738" s="2" t="s">
        <v>21</v>
      </c>
      <c r="I738" s="2" t="s">
        <v>1968</v>
      </c>
      <c r="J738" s="3" t="str">
        <f>HYPERLINK("https://www.boe.es/gazeta/dias/1818/11/03/pdfs/GMD-1818-133.pdf#page=8","Abrir facsímil")</f>
        <v>Abrir facsímil</v>
      </c>
      <c r="K738" s="3" t="s">
        <v>23</v>
      </c>
    </row>
    <row r="739" spans="1:11" ht="42" customHeight="1">
      <c r="A739" s="2" t="s">
        <v>1969</v>
      </c>
      <c r="B739" s="2" t="s">
        <v>1970</v>
      </c>
      <c r="C739" s="2" t="s">
        <v>68</v>
      </c>
      <c r="D739" s="2" t="s">
        <v>69</v>
      </c>
      <c r="E739" s="5">
        <v>-29929</v>
      </c>
      <c r="F739" s="3" t="s">
        <v>204</v>
      </c>
      <c r="G739" s="3" t="s">
        <v>45</v>
      </c>
      <c r="H739" s="2" t="s">
        <v>21</v>
      </c>
      <c r="I739" s="2" t="s">
        <v>1971</v>
      </c>
      <c r="J739" s="3" t="str">
        <f>HYPERLINK("https://www.boe.es/gazeta/dias/1818/01/20/pdfs/GMD-1818-9.pdf#page=8","Abrir facsímil")</f>
        <v>Abrir facsímil</v>
      </c>
      <c r="K739" s="3" t="s">
        <v>23</v>
      </c>
    </row>
    <row r="740" spans="1:11" ht="42" customHeight="1">
      <c r="A740" s="2" t="s">
        <v>1972</v>
      </c>
      <c r="B740" s="2" t="s">
        <v>1972</v>
      </c>
      <c r="C740" s="2" t="s">
        <v>26</v>
      </c>
      <c r="D740" s="2" t="s">
        <v>27</v>
      </c>
      <c r="E740" s="5">
        <v>-29703</v>
      </c>
      <c r="F740" s="3" t="s">
        <v>294</v>
      </c>
      <c r="G740" s="3" t="s">
        <v>29</v>
      </c>
      <c r="H740" s="2" t="s">
        <v>36</v>
      </c>
      <c r="I740" s="2" t="s">
        <v>1973</v>
      </c>
      <c r="J740" s="3" t="str">
        <f>HYPERLINK("https://www.boe.es/gazeta/dias/1818/09/03/pdfs/GMD-1818-106.pdf#page=4","Abrir facsímil")</f>
        <v>Abrir facsímil</v>
      </c>
      <c r="K740" s="3" t="s">
        <v>38</v>
      </c>
    </row>
    <row r="741" spans="1:11" ht="42" customHeight="1">
      <c r="A741" s="2" t="s">
        <v>1972</v>
      </c>
      <c r="B741" s="2" t="s">
        <v>1972</v>
      </c>
      <c r="C741" s="2" t="s">
        <v>26</v>
      </c>
      <c r="D741" s="2" t="s">
        <v>27</v>
      </c>
      <c r="E741" s="5">
        <v>-29656</v>
      </c>
      <c r="F741" s="3" t="s">
        <v>601</v>
      </c>
      <c r="G741" s="3" t="s">
        <v>85</v>
      </c>
      <c r="H741" s="2" t="s">
        <v>36</v>
      </c>
      <c r="I741" s="2" t="s">
        <v>1974</v>
      </c>
      <c r="J741" s="3" t="str">
        <f>HYPERLINK("https://www.boe.es/gazeta/dias/1818/10/20/pdfs/GMD-1818-127.pdf#page=3","Abrir facsímil")</f>
        <v>Abrir facsímil</v>
      </c>
      <c r="K741" s="3" t="s">
        <v>38</v>
      </c>
    </row>
    <row r="742" spans="1:11" ht="42" customHeight="1">
      <c r="A742" s="2" t="s">
        <v>1975</v>
      </c>
      <c r="B742" s="2" t="s">
        <v>1976</v>
      </c>
      <c r="C742" s="2" t="s">
        <v>26</v>
      </c>
      <c r="D742" s="2" t="s">
        <v>27</v>
      </c>
      <c r="E742" s="5">
        <v>-29918</v>
      </c>
      <c r="F742" s="3" t="s">
        <v>89</v>
      </c>
      <c r="G742" s="3" t="s">
        <v>90</v>
      </c>
      <c r="H742" s="2" t="s">
        <v>36</v>
      </c>
      <c r="I742" s="2" t="s">
        <v>1977</v>
      </c>
      <c r="J742" s="3" t="str">
        <f>HYPERLINK("https://www.boe.es/gazeta/dias/1818/01/31/pdfs/GMD-1818-14.pdf#page=10","Abrir facsímil")</f>
        <v>Abrir facsímil</v>
      </c>
      <c r="K742" s="3" t="s">
        <v>38</v>
      </c>
    </row>
    <row r="743" spans="1:11" ht="42" customHeight="1">
      <c r="A743" s="2" t="s">
        <v>1978</v>
      </c>
      <c r="B743" s="2" t="s">
        <v>1979</v>
      </c>
      <c r="C743" s="2" t="s">
        <v>57</v>
      </c>
      <c r="D743" s="2" t="s">
        <v>18</v>
      </c>
      <c r="E743" s="5">
        <v>-29850</v>
      </c>
      <c r="F743" s="3" t="s">
        <v>1051</v>
      </c>
      <c r="G743" s="3" t="s">
        <v>106</v>
      </c>
      <c r="H743" s="2" t="s">
        <v>36</v>
      </c>
      <c r="I743" s="2" t="s">
        <v>1980</v>
      </c>
      <c r="J743" s="3" t="str">
        <f>HYPERLINK("https://www.boe.es/gazeta/dias/1818/04/09/pdfs/GMD-1818-43.pdf#page=5","Abrir facsímil")</f>
        <v>Abrir facsímil</v>
      </c>
      <c r="K743" s="3" t="s">
        <v>38</v>
      </c>
    </row>
    <row r="744" spans="1:11" ht="42" customHeight="1">
      <c r="A744" s="2" t="s">
        <v>1981</v>
      </c>
      <c r="B744" s="2" t="s">
        <v>1982</v>
      </c>
      <c r="C744" s="2" t="s">
        <v>17</v>
      </c>
      <c r="D744" s="2" t="s">
        <v>18</v>
      </c>
      <c r="E744" s="5">
        <v>-29624</v>
      </c>
      <c r="F744" s="3" t="s">
        <v>131</v>
      </c>
      <c r="G744" s="3" t="s">
        <v>20</v>
      </c>
      <c r="H744" s="2" t="s">
        <v>36</v>
      </c>
      <c r="I744" s="2" t="s">
        <v>1983</v>
      </c>
      <c r="J744" s="3" t="str">
        <f>HYPERLINK("https://www.boe.es/gazeta/dias/1818/11/21/pdfs/GMD-1818-141.pdf#page=7","Abrir facsímil")</f>
        <v>Abrir facsímil</v>
      </c>
      <c r="K744" s="3" t="s">
        <v>38</v>
      </c>
    </row>
    <row r="745" spans="1:11" ht="42" customHeight="1">
      <c r="A745" s="2" t="s">
        <v>1984</v>
      </c>
      <c r="B745" s="2" t="s">
        <v>1985</v>
      </c>
      <c r="C745" s="2" t="s">
        <v>97</v>
      </c>
      <c r="D745" s="2" t="s">
        <v>18</v>
      </c>
      <c r="E745" s="5">
        <v>-29726</v>
      </c>
      <c r="F745" s="3" t="s">
        <v>70</v>
      </c>
      <c r="G745" s="3" t="s">
        <v>71</v>
      </c>
      <c r="H745" s="2" t="s">
        <v>36</v>
      </c>
      <c r="I745" s="2" t="s">
        <v>1986</v>
      </c>
      <c r="J745" s="3" t="str">
        <f>HYPERLINK("https://www.boe.es/gazeta/dias/1818/08/11/pdfs/GMD-1818-96.pdf#page=16","Abrir facsímil")</f>
        <v>Abrir facsímil</v>
      </c>
      <c r="K745" s="3" t="s">
        <v>38</v>
      </c>
    </row>
    <row r="746" spans="1:11" ht="42" customHeight="1">
      <c r="A746" s="2" t="s">
        <v>1987</v>
      </c>
      <c r="B746" s="2" t="s">
        <v>1988</v>
      </c>
      <c r="C746" s="2" t="s">
        <v>68</v>
      </c>
      <c r="D746" s="2" t="s">
        <v>69</v>
      </c>
      <c r="E746" s="5">
        <v>-29857</v>
      </c>
      <c r="F746" s="3" t="s">
        <v>831</v>
      </c>
      <c r="G746" s="3" t="s">
        <v>20</v>
      </c>
      <c r="H746" s="2" t="s">
        <v>21</v>
      </c>
      <c r="I746" s="2" t="s">
        <v>1989</v>
      </c>
      <c r="J746" s="3" t="str">
        <f>HYPERLINK("https://www.boe.es/gazeta/dias/1818/04/02/pdfs/GMD-1818-40.pdf#page=7","Abrir facsímil")</f>
        <v>Abrir facsímil</v>
      </c>
      <c r="K746" s="3" t="s">
        <v>23</v>
      </c>
    </row>
    <row r="747" spans="1:11" ht="42" customHeight="1">
      <c r="A747" s="2" t="s">
        <v>1990</v>
      </c>
      <c r="B747" s="2" t="s">
        <v>1991</v>
      </c>
      <c r="C747" s="2" t="s">
        <v>26</v>
      </c>
      <c r="D747" s="2" t="s">
        <v>27</v>
      </c>
      <c r="E747" s="5">
        <v>-29750</v>
      </c>
      <c r="F747" s="3" t="s">
        <v>384</v>
      </c>
      <c r="G747" s="3" t="s">
        <v>111</v>
      </c>
      <c r="H747" s="2" t="s">
        <v>36</v>
      </c>
      <c r="I747" s="2" t="s">
        <v>1992</v>
      </c>
      <c r="J747" s="3" t="str">
        <f>HYPERLINK("https://www.boe.es/gazeta/dias/1818/07/18/pdfs/GMD-1818-86.pdf#page=11","Abrir facsímil")</f>
        <v>Abrir facsímil</v>
      </c>
      <c r="K747" s="3" t="s">
        <v>38</v>
      </c>
    </row>
    <row r="748" spans="1:11" ht="42" customHeight="1">
      <c r="A748" s="2" t="s">
        <v>1993</v>
      </c>
      <c r="B748" s="2" t="s">
        <v>1994</v>
      </c>
      <c r="C748" s="2" t="s">
        <v>26</v>
      </c>
      <c r="D748" s="2" t="s">
        <v>27</v>
      </c>
      <c r="E748" s="5">
        <v>-29731</v>
      </c>
      <c r="F748" s="3" t="s">
        <v>299</v>
      </c>
      <c r="G748" s="3" t="s">
        <v>59</v>
      </c>
      <c r="H748" s="2" t="s">
        <v>36</v>
      </c>
      <c r="I748" s="2" t="s">
        <v>1995</v>
      </c>
      <c r="J748" s="3" t="str">
        <f>HYPERLINK("https://www.boe.es/gazeta/dias/1818/08/06/pdfs/GMD-1818-94.pdf#page=6","Abrir facsímil")</f>
        <v>Abrir facsímil</v>
      </c>
      <c r="K748" s="3" t="s">
        <v>38</v>
      </c>
    </row>
    <row r="749" spans="1:11" ht="42" customHeight="1">
      <c r="A749" s="2" t="s">
        <v>1996</v>
      </c>
      <c r="B749" s="2" t="s">
        <v>1997</v>
      </c>
      <c r="C749" s="2" t="s">
        <v>17</v>
      </c>
      <c r="D749" s="2" t="s">
        <v>18</v>
      </c>
      <c r="E749" s="5">
        <v>-29740</v>
      </c>
      <c r="F749" s="3" t="s">
        <v>152</v>
      </c>
      <c r="G749" s="3" t="s">
        <v>20</v>
      </c>
      <c r="H749" s="2" t="s">
        <v>36</v>
      </c>
      <c r="I749" s="2" t="s">
        <v>1998</v>
      </c>
      <c r="J749" s="3" t="str">
        <f>HYPERLINK("https://www.boe.es/gazeta/dias/1818/07/28/pdfs/GMD-1818-90.pdf#page=7","Abrir facsímil")</f>
        <v>Abrir facsímil</v>
      </c>
      <c r="K749" s="3" t="s">
        <v>38</v>
      </c>
    </row>
    <row r="750" spans="1:11" ht="42" customHeight="1">
      <c r="A750" s="2" t="s">
        <v>1999</v>
      </c>
      <c r="B750" s="2" t="s">
        <v>2000</v>
      </c>
      <c r="C750" s="2" t="s">
        <v>17</v>
      </c>
      <c r="D750" s="2" t="s">
        <v>18</v>
      </c>
      <c r="E750" s="5">
        <v>-29934</v>
      </c>
      <c r="F750" s="3" t="s">
        <v>53</v>
      </c>
      <c r="G750" s="3" t="s">
        <v>2001</v>
      </c>
      <c r="H750" s="2" t="s">
        <v>36</v>
      </c>
      <c r="I750" s="2" t="s">
        <v>2002</v>
      </c>
      <c r="J750" s="3" t="str">
        <f>HYPERLINK("https://www.boe.es/gazeta/dias/1818/01/15/pdfs/GMD-1818-7.pdf#page=4","Abrir facsímil")</f>
        <v>Abrir facsímil</v>
      </c>
      <c r="K750" s="3" t="s">
        <v>38</v>
      </c>
    </row>
    <row r="751" spans="1:11" ht="42" customHeight="1">
      <c r="A751" s="2" t="s">
        <v>1999</v>
      </c>
      <c r="B751" s="2" t="s">
        <v>2000</v>
      </c>
      <c r="C751" s="2" t="s">
        <v>26</v>
      </c>
      <c r="D751" s="2" t="s">
        <v>27</v>
      </c>
      <c r="E751" s="5">
        <v>-29934</v>
      </c>
      <c r="F751" s="3" t="s">
        <v>53</v>
      </c>
      <c r="G751" s="3" t="s">
        <v>59</v>
      </c>
      <c r="H751" s="2" t="s">
        <v>36</v>
      </c>
      <c r="I751" s="2" t="s">
        <v>2003</v>
      </c>
      <c r="J751" s="3" t="str">
        <f>HYPERLINK("https://www.boe.es/gazeta/dias/1818/01/15/pdfs/GMD-1818-7.pdf#page=6","Abrir facsímil")</f>
        <v>Abrir facsímil</v>
      </c>
      <c r="K751" s="3" t="s">
        <v>38</v>
      </c>
    </row>
    <row r="752" spans="1:11" ht="42" customHeight="1">
      <c r="A752" s="2" t="s">
        <v>2004</v>
      </c>
      <c r="B752" s="2" t="s">
        <v>2005</v>
      </c>
      <c r="C752" s="2" t="s">
        <v>33</v>
      </c>
      <c r="D752" s="2" t="s">
        <v>18</v>
      </c>
      <c r="E752" s="5">
        <v>-29764</v>
      </c>
      <c r="F752" s="3" t="s">
        <v>464</v>
      </c>
      <c r="G752" s="3" t="s">
        <v>45</v>
      </c>
      <c r="H752" s="2" t="s">
        <v>36</v>
      </c>
      <c r="I752" s="2" t="s">
        <v>2006</v>
      </c>
      <c r="J752" s="3" t="str">
        <f>HYPERLINK("https://www.boe.es/gazeta/dias/1818/07/04/pdfs/GMD-1818-80.pdf#page=8","Abrir facsímil")</f>
        <v>Abrir facsímil</v>
      </c>
      <c r="K752" s="3" t="s">
        <v>38</v>
      </c>
    </row>
    <row r="753" spans="1:11" ht="42" customHeight="1">
      <c r="A753" s="2" t="s">
        <v>2007</v>
      </c>
      <c r="B753" s="2" t="s">
        <v>2008</v>
      </c>
      <c r="C753" s="2" t="s">
        <v>26</v>
      </c>
      <c r="D753" s="2" t="s">
        <v>27</v>
      </c>
      <c r="E753" s="5">
        <v>-29624</v>
      </c>
      <c r="F753" s="3" t="s">
        <v>131</v>
      </c>
      <c r="G753" s="3" t="s">
        <v>45</v>
      </c>
      <c r="H753" s="2" t="s">
        <v>36</v>
      </c>
      <c r="I753" s="2" t="s">
        <v>2009</v>
      </c>
      <c r="J753" s="3" t="str">
        <f>HYPERLINK("https://www.boe.es/gazeta/dias/1818/11/21/pdfs/GMD-1818-141.pdf#page=8","Abrir facsímil")</f>
        <v>Abrir facsímil</v>
      </c>
      <c r="K753" s="3" t="s">
        <v>38</v>
      </c>
    </row>
    <row r="754" spans="1:11" ht="42" customHeight="1">
      <c r="A754" s="2" t="s">
        <v>2010</v>
      </c>
      <c r="B754" s="2" t="s">
        <v>2011</v>
      </c>
      <c r="C754" s="2" t="s">
        <v>17</v>
      </c>
      <c r="D754" s="2" t="s">
        <v>18</v>
      </c>
      <c r="E754" s="5">
        <v>-29864</v>
      </c>
      <c r="F754" s="3" t="s">
        <v>196</v>
      </c>
      <c r="G754" s="3" t="s">
        <v>106</v>
      </c>
      <c r="H754" s="2" t="s">
        <v>36</v>
      </c>
      <c r="I754" s="2" t="s">
        <v>2012</v>
      </c>
      <c r="J754" s="3" t="str">
        <f>HYPERLINK("https://www.boe.es/gazeta/dias/1818/03/26/pdfs/GMD-1818-37.pdf#page=5","Abrir facsímil")</f>
        <v>Abrir facsímil</v>
      </c>
      <c r="K754" s="3" t="s">
        <v>38</v>
      </c>
    </row>
    <row r="755" spans="1:11" ht="42" customHeight="1">
      <c r="A755" s="2" t="s">
        <v>2013</v>
      </c>
      <c r="B755" s="2" t="s">
        <v>2014</v>
      </c>
      <c r="C755" s="2" t="s">
        <v>63</v>
      </c>
      <c r="D755" s="2" t="s">
        <v>18</v>
      </c>
      <c r="E755" s="5">
        <v>-29759</v>
      </c>
      <c r="F755" s="3" t="s">
        <v>405</v>
      </c>
      <c r="G755" s="3" t="s">
        <v>20</v>
      </c>
      <c r="H755" s="2" t="s">
        <v>21</v>
      </c>
      <c r="I755" s="2" t="s">
        <v>2015</v>
      </c>
      <c r="J755" s="3" t="str">
        <f>HYPERLINK("https://www.boe.es/gazeta/dias/1818/07/09/pdfs/GMD-1818-82.pdf#page=7","Abrir facsímil")</f>
        <v>Abrir facsímil</v>
      </c>
      <c r="K755" s="3" t="s">
        <v>23</v>
      </c>
    </row>
    <row r="756" spans="1:11" ht="42" customHeight="1">
      <c r="A756" s="2" t="s">
        <v>2016</v>
      </c>
      <c r="B756" s="2" t="s">
        <v>2016</v>
      </c>
      <c r="C756" s="2" t="s">
        <v>17</v>
      </c>
      <c r="D756" s="2" t="s">
        <v>18</v>
      </c>
      <c r="E756" s="5">
        <v>-29752</v>
      </c>
      <c r="F756" s="3" t="s">
        <v>165</v>
      </c>
      <c r="G756" s="3" t="s">
        <v>20</v>
      </c>
      <c r="H756" s="2" t="s">
        <v>36</v>
      </c>
      <c r="I756" s="2" t="s">
        <v>2017</v>
      </c>
      <c r="J756" s="3" t="str">
        <f>HYPERLINK("https://www.boe.es/gazeta/dias/1818/07/16/pdfs/GMD-1818-85.pdf#page=7","Abrir facsímil")</f>
        <v>Abrir facsímil</v>
      </c>
      <c r="K756" s="3" t="s">
        <v>38</v>
      </c>
    </row>
    <row r="757" spans="1:11" ht="42" customHeight="1">
      <c r="A757" s="2" t="s">
        <v>2018</v>
      </c>
      <c r="B757" s="2" t="s">
        <v>2019</v>
      </c>
      <c r="C757" s="2" t="s">
        <v>97</v>
      </c>
      <c r="D757" s="2" t="s">
        <v>18</v>
      </c>
      <c r="E757" s="5">
        <v>-29801</v>
      </c>
      <c r="F757" s="3" t="s">
        <v>288</v>
      </c>
      <c r="G757" s="3" t="s">
        <v>49</v>
      </c>
      <c r="H757" s="2" t="s">
        <v>36</v>
      </c>
      <c r="I757" s="2" t="s">
        <v>2020</v>
      </c>
      <c r="J757" s="3" t="str">
        <f>HYPERLINK("https://www.boe.es/gazeta/dias/1818/05/28/pdfs/GMD-1818-64.pdf#page=1","Abrir facsímil")</f>
        <v>Abrir facsímil</v>
      </c>
      <c r="K757" s="3" t="s">
        <v>38</v>
      </c>
    </row>
    <row r="758" spans="1:11" ht="42" customHeight="1">
      <c r="A758" s="2" t="s">
        <v>2021</v>
      </c>
      <c r="B758" s="2" t="s">
        <v>2022</v>
      </c>
      <c r="C758" s="2" t="s">
        <v>17</v>
      </c>
      <c r="D758" s="2" t="s">
        <v>18</v>
      </c>
      <c r="E758" s="5">
        <v>-29829</v>
      </c>
      <c r="F758" s="3" t="s">
        <v>44</v>
      </c>
      <c r="G758" s="3" t="s">
        <v>45</v>
      </c>
      <c r="H758" s="2" t="s">
        <v>36</v>
      </c>
      <c r="I758" s="2" t="s">
        <v>2023</v>
      </c>
      <c r="J758" s="3" t="str">
        <f>HYPERLINK("https://www.boe.es/gazeta/dias/1818/04/30/pdfs/GMD-1818-52.pdf#page=8","Abrir facsímil")</f>
        <v>Abrir facsímil</v>
      </c>
      <c r="K758" s="3" t="s">
        <v>38</v>
      </c>
    </row>
    <row r="759" spans="1:11" ht="42" customHeight="1">
      <c r="A759" s="2" t="s">
        <v>2024</v>
      </c>
      <c r="B759" s="2" t="s">
        <v>2025</v>
      </c>
      <c r="C759" s="2" t="s">
        <v>68</v>
      </c>
      <c r="D759" s="2" t="s">
        <v>668</v>
      </c>
      <c r="E759" s="5">
        <v>-29661</v>
      </c>
      <c r="F759" s="3" t="s">
        <v>669</v>
      </c>
      <c r="G759" s="3" t="s">
        <v>49</v>
      </c>
      <c r="H759" s="2" t="s">
        <v>36</v>
      </c>
      <c r="I759" s="2" t="s">
        <v>2026</v>
      </c>
      <c r="J759" s="3" t="str">
        <f>HYPERLINK("https://www.boe.es/gazeta/dias/1818/10/15/pdfs/GMD-1818-125E.pdf#page=1","Abrir facsímil")</f>
        <v>Abrir facsímil</v>
      </c>
      <c r="K759" s="3" t="s">
        <v>38</v>
      </c>
    </row>
    <row r="760" spans="1:11" ht="42" customHeight="1">
      <c r="A760" s="2" t="s">
        <v>2027</v>
      </c>
      <c r="B760" s="2" t="s">
        <v>2028</v>
      </c>
      <c r="C760" s="2" t="s">
        <v>26</v>
      </c>
      <c r="D760" s="2" t="s">
        <v>27</v>
      </c>
      <c r="E760" s="5">
        <v>-29691</v>
      </c>
      <c r="F760" s="3" t="s">
        <v>144</v>
      </c>
      <c r="G760" s="3" t="s">
        <v>45</v>
      </c>
      <c r="H760" s="2" t="s">
        <v>36</v>
      </c>
      <c r="I760" s="2" t="s">
        <v>2029</v>
      </c>
      <c r="J760" s="3" t="str">
        <f>HYPERLINK("https://www.boe.es/gazeta/dias/1818/09/15/pdfs/GMD-1818-111.pdf#page=8","Abrir facsímil")</f>
        <v>Abrir facsímil</v>
      </c>
      <c r="K760" s="3" t="s">
        <v>38</v>
      </c>
    </row>
    <row r="761" spans="1:11" ht="42" customHeight="1">
      <c r="A761" s="2" t="s">
        <v>2030</v>
      </c>
      <c r="B761" s="2" t="s">
        <v>2031</v>
      </c>
      <c r="C761" s="2" t="s">
        <v>68</v>
      </c>
      <c r="D761" s="2" t="s">
        <v>69</v>
      </c>
      <c r="E761" s="5">
        <v>-29752</v>
      </c>
      <c r="F761" s="3" t="s">
        <v>165</v>
      </c>
      <c r="G761" s="3" t="s">
        <v>59</v>
      </c>
      <c r="H761" s="2" t="s">
        <v>36</v>
      </c>
      <c r="I761" s="2" t="s">
        <v>2032</v>
      </c>
      <c r="J761" s="3" t="str">
        <f>HYPERLINK("https://www.boe.es/gazeta/dias/1818/07/16/pdfs/GMD-1818-85.pdf#page=6","Abrir facsímil")</f>
        <v>Abrir facsímil</v>
      </c>
      <c r="K761" s="3" t="s">
        <v>38</v>
      </c>
    </row>
    <row r="762" spans="1:11" ht="42" customHeight="1">
      <c r="A762" s="2" t="s">
        <v>2033</v>
      </c>
      <c r="B762" s="2" t="s">
        <v>2034</v>
      </c>
      <c r="C762" s="2" t="s">
        <v>215</v>
      </c>
      <c r="D762" s="2" t="s">
        <v>18</v>
      </c>
      <c r="E762" s="5">
        <v>-29682</v>
      </c>
      <c r="F762" s="3" t="s">
        <v>170</v>
      </c>
      <c r="G762" s="3" t="s">
        <v>20</v>
      </c>
      <c r="H762" s="2" t="s">
        <v>36</v>
      </c>
      <c r="I762" s="2" t="s">
        <v>2035</v>
      </c>
      <c r="J762" s="3" t="str">
        <f>HYPERLINK("https://www.boe.es/gazeta/dias/1818/09/24/pdfs/GMD-1818-115.pdf#page=7","Abrir facsímil")</f>
        <v>Abrir facsímil</v>
      </c>
      <c r="K762" s="3" t="s">
        <v>38</v>
      </c>
    </row>
    <row r="763" spans="1:11" ht="42" customHeight="1">
      <c r="A763" s="2" t="s">
        <v>2036</v>
      </c>
      <c r="B763" s="2" t="s">
        <v>2037</v>
      </c>
      <c r="C763" s="2" t="s">
        <v>26</v>
      </c>
      <c r="D763" s="2" t="s">
        <v>27</v>
      </c>
      <c r="E763" s="5">
        <v>-29897</v>
      </c>
      <c r="F763" s="3" t="s">
        <v>318</v>
      </c>
      <c r="G763" s="3" t="s">
        <v>45</v>
      </c>
      <c r="H763" s="2" t="s">
        <v>36</v>
      </c>
      <c r="I763" s="2" t="s">
        <v>2038</v>
      </c>
      <c r="J763" s="3" t="str">
        <f>HYPERLINK("https://www.boe.es/gazeta/dias/1818/02/21/pdfs/GMD-1818-23.pdf#page=8","Abrir facsímil")</f>
        <v>Abrir facsímil</v>
      </c>
      <c r="K763" s="3" t="s">
        <v>38</v>
      </c>
    </row>
    <row r="764" spans="1:11" ht="42" customHeight="1">
      <c r="A764" s="2" t="s">
        <v>2039</v>
      </c>
      <c r="B764" s="2" t="s">
        <v>2040</v>
      </c>
      <c r="C764" s="2" t="s">
        <v>17</v>
      </c>
      <c r="D764" s="2" t="s">
        <v>18</v>
      </c>
      <c r="E764" s="5">
        <v>-29939</v>
      </c>
      <c r="F764" s="3" t="s">
        <v>110</v>
      </c>
      <c r="G764" s="3" t="s">
        <v>116</v>
      </c>
      <c r="H764" s="2" t="s">
        <v>21</v>
      </c>
      <c r="I764" s="2" t="s">
        <v>2041</v>
      </c>
      <c r="J764" s="3" t="str">
        <f>HYPERLINK("https://www.boe.es/gazeta/dias/1818/01/10/pdfs/GMD-1818-5.pdf#page=12","Abrir facsímil")</f>
        <v>Abrir facsímil</v>
      </c>
      <c r="K764" s="3" t="s">
        <v>23</v>
      </c>
    </row>
    <row r="765" spans="1:11" ht="42" customHeight="1">
      <c r="A765" s="2" t="s">
        <v>2042</v>
      </c>
      <c r="B765" s="2" t="s">
        <v>2043</v>
      </c>
      <c r="C765" s="2" t="s">
        <v>26</v>
      </c>
      <c r="D765" s="2" t="s">
        <v>27</v>
      </c>
      <c r="E765" s="5">
        <v>-29782</v>
      </c>
      <c r="F765" s="3" t="s">
        <v>226</v>
      </c>
      <c r="G765" s="3" t="s">
        <v>20</v>
      </c>
      <c r="H765" s="2" t="s">
        <v>36</v>
      </c>
      <c r="I765" s="2" t="s">
        <v>2044</v>
      </c>
      <c r="J765" s="3" t="str">
        <f>HYPERLINK("https://www.boe.es/gazeta/dias/1818/06/16/pdfs/GMD-1818-72.pdf#page=7","Abrir facsímil")</f>
        <v>Abrir facsímil</v>
      </c>
      <c r="K765" s="3" t="s">
        <v>38</v>
      </c>
    </row>
    <row r="766" spans="1:11" ht="42" customHeight="1">
      <c r="A766" s="2" t="s">
        <v>2045</v>
      </c>
      <c r="B766" s="2" t="s">
        <v>2046</v>
      </c>
      <c r="C766" s="2" t="s">
        <v>57</v>
      </c>
      <c r="D766" s="2" t="s">
        <v>18</v>
      </c>
      <c r="E766" s="5">
        <v>-29740</v>
      </c>
      <c r="F766" s="3" t="s">
        <v>152</v>
      </c>
      <c r="G766" s="3" t="s">
        <v>45</v>
      </c>
      <c r="H766" s="2" t="s">
        <v>36</v>
      </c>
      <c r="I766" s="2" t="s">
        <v>2047</v>
      </c>
      <c r="J766" s="3" t="str">
        <f>HYPERLINK("https://www.boe.es/gazeta/dias/1818/07/28/pdfs/GMD-1818-90.pdf#page=8","Abrir facsímil")</f>
        <v>Abrir facsímil</v>
      </c>
      <c r="K766" s="3" t="s">
        <v>38</v>
      </c>
    </row>
    <row r="767" spans="1:11" ht="42" customHeight="1">
      <c r="A767" s="2" t="s">
        <v>2048</v>
      </c>
      <c r="B767" s="2" t="s">
        <v>2049</v>
      </c>
      <c r="C767" s="2" t="s">
        <v>26</v>
      </c>
      <c r="D767" s="2" t="s">
        <v>27</v>
      </c>
      <c r="E767" s="5">
        <v>-29899</v>
      </c>
      <c r="F767" s="3" t="s">
        <v>232</v>
      </c>
      <c r="G767" s="3" t="s">
        <v>45</v>
      </c>
      <c r="H767" s="2" t="s">
        <v>36</v>
      </c>
      <c r="I767" s="2" t="s">
        <v>2050</v>
      </c>
      <c r="J767" s="3" t="str">
        <f>HYPERLINK("https://www.boe.es/gazeta/dias/1818/02/19/pdfs/GMD-1818-22.pdf#page=8","Abrir facsímil")</f>
        <v>Abrir facsímil</v>
      </c>
      <c r="K767" s="3" t="s">
        <v>38</v>
      </c>
    </row>
    <row r="768" spans="1:11" ht="42" customHeight="1">
      <c r="A768" s="2" t="s">
        <v>2048</v>
      </c>
      <c r="B768" s="2" t="s">
        <v>2049</v>
      </c>
      <c r="C768" s="2" t="s">
        <v>68</v>
      </c>
      <c r="D768" s="2" t="s">
        <v>69</v>
      </c>
      <c r="E768" s="5">
        <v>-29894</v>
      </c>
      <c r="F768" s="3" t="s">
        <v>820</v>
      </c>
      <c r="G768" s="3" t="s">
        <v>59</v>
      </c>
      <c r="H768" s="2" t="s">
        <v>36</v>
      </c>
      <c r="I768" s="2" t="s">
        <v>2051</v>
      </c>
      <c r="J768" s="3" t="str">
        <f>HYPERLINK("https://www.boe.es/gazeta/dias/1818/02/24/pdfs/GMD-1818-24.pdf#page=6","Abrir facsímil")</f>
        <v>Abrir facsímil</v>
      </c>
      <c r="K768" s="3" t="s">
        <v>38</v>
      </c>
    </row>
    <row r="769" spans="1:11" ht="42" customHeight="1">
      <c r="A769" s="2" t="s">
        <v>2052</v>
      </c>
      <c r="B769" s="2" t="s">
        <v>2053</v>
      </c>
      <c r="C769" s="2" t="s">
        <v>26</v>
      </c>
      <c r="D769" s="2" t="s">
        <v>27</v>
      </c>
      <c r="E769" s="5">
        <v>-29817</v>
      </c>
      <c r="F769" s="3" t="s">
        <v>284</v>
      </c>
      <c r="G769" s="3" t="s">
        <v>45</v>
      </c>
      <c r="H769" s="2" t="s">
        <v>36</v>
      </c>
      <c r="I769" s="2" t="s">
        <v>2054</v>
      </c>
      <c r="J769" s="3" t="str">
        <f>HYPERLINK("https://www.boe.es/gazeta/dias/1818/05/12/pdfs/GMD-1818-57.pdf#page=8","Abrir facsímil")</f>
        <v>Abrir facsímil</v>
      </c>
      <c r="K769" s="3" t="s">
        <v>38</v>
      </c>
    </row>
    <row r="770" spans="1:11" ht="42" customHeight="1">
      <c r="A770" s="2" t="s">
        <v>2055</v>
      </c>
      <c r="B770" s="2" t="s">
        <v>2056</v>
      </c>
      <c r="C770" s="2" t="s">
        <v>26</v>
      </c>
      <c r="D770" s="2" t="s">
        <v>27</v>
      </c>
      <c r="E770" s="5">
        <v>-29831</v>
      </c>
      <c r="F770" s="3" t="s">
        <v>567</v>
      </c>
      <c r="G770" s="3" t="s">
        <v>45</v>
      </c>
      <c r="H770" s="2" t="s">
        <v>36</v>
      </c>
      <c r="I770" s="2" t="s">
        <v>2057</v>
      </c>
      <c r="J770" s="3" t="str">
        <f>HYPERLINK("https://www.boe.es/gazeta/dias/1818/04/28/pdfs/GMD-1818-51.pdf#page=8","Abrir facsímil")</f>
        <v>Abrir facsímil</v>
      </c>
      <c r="K770" s="3" t="s">
        <v>38</v>
      </c>
    </row>
    <row r="771" spans="1:11" ht="42" customHeight="1">
      <c r="A771" s="2" t="s">
        <v>2055</v>
      </c>
      <c r="B771" s="2" t="s">
        <v>2056</v>
      </c>
      <c r="C771" s="2" t="s">
        <v>26</v>
      </c>
      <c r="D771" s="2" t="s">
        <v>27</v>
      </c>
      <c r="E771" s="5">
        <v>-29792</v>
      </c>
      <c r="F771" s="3" t="s">
        <v>948</v>
      </c>
      <c r="G771" s="3" t="s">
        <v>45</v>
      </c>
      <c r="H771" s="2" t="s">
        <v>36</v>
      </c>
      <c r="I771" s="2" t="s">
        <v>2058</v>
      </c>
      <c r="J771" s="3" t="str">
        <f>HYPERLINK("https://www.boe.es/gazeta/dias/1818/06/06/pdfs/GMD-1818-68.pdf#page=8","Abrir facsímil")</f>
        <v>Abrir facsímil</v>
      </c>
      <c r="K771" s="3" t="s">
        <v>38</v>
      </c>
    </row>
    <row r="772" spans="1:11" ht="42" customHeight="1">
      <c r="A772" s="2" t="s">
        <v>2059</v>
      </c>
      <c r="B772" s="2" t="s">
        <v>2060</v>
      </c>
      <c r="C772" s="2" t="s">
        <v>26</v>
      </c>
      <c r="D772" s="2" t="s">
        <v>27</v>
      </c>
      <c r="E772" s="5">
        <v>-29878</v>
      </c>
      <c r="F772" s="3" t="s">
        <v>353</v>
      </c>
      <c r="G772" s="3" t="s">
        <v>20</v>
      </c>
      <c r="H772" s="2" t="s">
        <v>36</v>
      </c>
      <c r="I772" s="2" t="s">
        <v>2061</v>
      </c>
      <c r="J772" s="3" t="str">
        <f>HYPERLINK("https://www.boe.es/gazeta/dias/1818/03/12/pdfs/GMD-1818-31.pdf#page=7","Abrir facsímil")</f>
        <v>Abrir facsímil</v>
      </c>
      <c r="K772" s="3" t="s">
        <v>38</v>
      </c>
    </row>
    <row r="773" spans="1:11" ht="42" customHeight="1">
      <c r="A773" s="2" t="s">
        <v>2062</v>
      </c>
      <c r="B773" s="2" t="s">
        <v>2062</v>
      </c>
      <c r="C773" s="2" t="s">
        <v>26</v>
      </c>
      <c r="D773" s="2" t="s">
        <v>27</v>
      </c>
      <c r="E773" s="5">
        <v>-29708</v>
      </c>
      <c r="F773" s="3" t="s">
        <v>413</v>
      </c>
      <c r="G773" s="3" t="s">
        <v>29</v>
      </c>
      <c r="H773" s="2" t="s">
        <v>36</v>
      </c>
      <c r="I773" s="2" t="s">
        <v>2063</v>
      </c>
      <c r="J773" s="3" t="str">
        <f>HYPERLINK("https://www.boe.es/gazeta/dias/1818/08/29/pdfs/GMD-1818-104.pdf#page=4","Abrir facsímil")</f>
        <v>Abrir facsímil</v>
      </c>
      <c r="K773" s="3" t="s">
        <v>38</v>
      </c>
    </row>
    <row r="774" spans="1:11" ht="42" customHeight="1">
      <c r="A774" s="2" t="s">
        <v>2064</v>
      </c>
      <c r="B774" s="2" t="s">
        <v>2065</v>
      </c>
      <c r="C774" s="2" t="s">
        <v>57</v>
      </c>
      <c r="D774" s="2" t="s">
        <v>18</v>
      </c>
      <c r="E774" s="5">
        <v>-29757</v>
      </c>
      <c r="F774" s="3" t="s">
        <v>115</v>
      </c>
      <c r="G774" s="3" t="s">
        <v>116</v>
      </c>
      <c r="H774" s="2" t="s">
        <v>36</v>
      </c>
      <c r="I774" s="2" t="s">
        <v>2066</v>
      </c>
      <c r="J774" s="3" t="str">
        <f>HYPERLINK("https://www.boe.es/gazeta/dias/1818/07/11/pdfs/GMD-1818-83.pdf#page=12","Abrir facsímil")</f>
        <v>Abrir facsímil</v>
      </c>
      <c r="K774" s="3" t="s">
        <v>38</v>
      </c>
    </row>
    <row r="775" spans="1:11" ht="42" customHeight="1">
      <c r="A775" s="2" t="s">
        <v>2067</v>
      </c>
      <c r="B775" s="2" t="s">
        <v>2068</v>
      </c>
      <c r="C775" s="2" t="s">
        <v>57</v>
      </c>
      <c r="D775" s="2" t="s">
        <v>18</v>
      </c>
      <c r="E775" s="5">
        <v>-29852</v>
      </c>
      <c r="F775" s="3" t="s">
        <v>327</v>
      </c>
      <c r="G775" s="3" t="s">
        <v>45</v>
      </c>
      <c r="H775" s="2" t="s">
        <v>21</v>
      </c>
      <c r="I775" s="2" t="s">
        <v>2069</v>
      </c>
      <c r="J775" s="3" t="str">
        <f>HYPERLINK("https://www.boe.es/gazeta/dias/1818/04/07/pdfs/GMD-1818-42.pdf#page=8","Abrir facsímil")</f>
        <v>Abrir facsímil</v>
      </c>
      <c r="K775" s="3" t="s">
        <v>23</v>
      </c>
    </row>
    <row r="776" spans="1:11" ht="42" customHeight="1">
      <c r="A776" s="2" t="s">
        <v>2070</v>
      </c>
      <c r="B776" s="2" t="s">
        <v>2071</v>
      </c>
      <c r="C776" s="2" t="s">
        <v>26</v>
      </c>
      <c r="D776" s="2" t="s">
        <v>27</v>
      </c>
      <c r="E776" s="5">
        <v>-29666</v>
      </c>
      <c r="F776" s="3" t="s">
        <v>258</v>
      </c>
      <c r="G776" s="3" t="s">
        <v>59</v>
      </c>
      <c r="H776" s="2" t="s">
        <v>36</v>
      </c>
      <c r="I776" s="2" t="s">
        <v>2072</v>
      </c>
      <c r="J776" s="3" t="str">
        <f>HYPERLINK("https://www.boe.es/gazeta/dias/1818/10/10/pdfs/GMD-1818-122.pdf#page=6","Abrir facsímil")</f>
        <v>Abrir facsímil</v>
      </c>
      <c r="K776" s="3" t="s">
        <v>38</v>
      </c>
    </row>
    <row r="777" spans="1:11" ht="42" customHeight="1">
      <c r="A777" s="2" t="s">
        <v>2073</v>
      </c>
      <c r="B777" s="2" t="s">
        <v>2074</v>
      </c>
      <c r="C777" s="2" t="s">
        <v>57</v>
      </c>
      <c r="D777" s="2" t="s">
        <v>18</v>
      </c>
      <c r="E777" s="5">
        <v>-29701</v>
      </c>
      <c r="F777" s="3" t="s">
        <v>596</v>
      </c>
      <c r="G777" s="3" t="s">
        <v>59</v>
      </c>
      <c r="H777" s="2" t="s">
        <v>36</v>
      </c>
      <c r="I777" s="2" t="s">
        <v>2075</v>
      </c>
      <c r="J777" s="3" t="str">
        <f>HYPERLINK("https://www.boe.es/gazeta/dias/1818/09/05/pdfs/GMD-1818-107.pdf#page=6","Abrir facsímil")</f>
        <v>Abrir facsímil</v>
      </c>
      <c r="K777" s="3" t="s">
        <v>38</v>
      </c>
    </row>
    <row r="778" spans="1:11" ht="42" customHeight="1">
      <c r="A778" s="2" t="s">
        <v>2076</v>
      </c>
      <c r="B778" s="2" t="s">
        <v>2077</v>
      </c>
      <c r="C778" s="2" t="s">
        <v>17</v>
      </c>
      <c r="D778" s="2" t="s">
        <v>18</v>
      </c>
      <c r="E778" s="5">
        <v>-29589</v>
      </c>
      <c r="F778" s="3" t="s">
        <v>210</v>
      </c>
      <c r="G778" s="3" t="s">
        <v>20</v>
      </c>
      <c r="H778" s="2" t="s">
        <v>36</v>
      </c>
      <c r="I778" s="2" t="s">
        <v>2078</v>
      </c>
      <c r="J778" s="3" t="str">
        <f>HYPERLINK("https://www.boe.es/gazeta/dias/1818/12/26/pdfs/GMD-1818-156.pdf#page=7","Abrir facsímil")</f>
        <v>Abrir facsímil</v>
      </c>
      <c r="K778" s="3" t="s">
        <v>38</v>
      </c>
    </row>
    <row r="779" spans="1:11" ht="42" customHeight="1">
      <c r="A779" s="2" t="s">
        <v>2079</v>
      </c>
      <c r="B779" s="2" t="s">
        <v>2080</v>
      </c>
      <c r="C779" s="2" t="s">
        <v>17</v>
      </c>
      <c r="D779" s="2" t="s">
        <v>18</v>
      </c>
      <c r="E779" s="5">
        <v>-29904</v>
      </c>
      <c r="F779" s="3" t="s">
        <v>451</v>
      </c>
      <c r="G779" s="3" t="s">
        <v>45</v>
      </c>
      <c r="H779" s="2" t="s">
        <v>36</v>
      </c>
      <c r="I779" s="2" t="s">
        <v>2081</v>
      </c>
      <c r="J779" s="3" t="str">
        <f>HYPERLINK("https://www.boe.es/gazeta/dias/1818/02/14/pdfs/GMD-1818-20.pdf#page=8","Abrir facsímil")</f>
        <v>Abrir facsímil</v>
      </c>
      <c r="K779" s="3" t="s">
        <v>38</v>
      </c>
    </row>
    <row r="780" spans="1:11" ht="42" customHeight="1">
      <c r="A780" s="2" t="s">
        <v>2082</v>
      </c>
      <c r="B780" s="2" t="s">
        <v>2083</v>
      </c>
      <c r="C780" s="2" t="s">
        <v>17</v>
      </c>
      <c r="D780" s="2" t="s">
        <v>18</v>
      </c>
      <c r="E780" s="5">
        <v>-29904</v>
      </c>
      <c r="F780" s="3" t="s">
        <v>451</v>
      </c>
      <c r="G780" s="3" t="s">
        <v>45</v>
      </c>
      <c r="H780" s="2" t="s">
        <v>21</v>
      </c>
      <c r="I780" s="2" t="s">
        <v>2084</v>
      </c>
      <c r="J780" s="3" t="str">
        <f>HYPERLINK("https://www.boe.es/gazeta/dias/1818/02/14/pdfs/GMD-1818-20.pdf#page=8","Abrir facsímil")</f>
        <v>Abrir facsímil</v>
      </c>
      <c r="K780" s="3" t="s">
        <v>23</v>
      </c>
    </row>
    <row r="781" spans="1:11" ht="42" customHeight="1">
      <c r="A781" s="2" t="s">
        <v>2085</v>
      </c>
      <c r="B781" s="2" t="s">
        <v>2085</v>
      </c>
      <c r="C781" s="2" t="s">
        <v>33</v>
      </c>
      <c r="D781" s="2" t="s">
        <v>18</v>
      </c>
      <c r="E781" s="5">
        <v>-29927</v>
      </c>
      <c r="F781" s="3" t="s">
        <v>1381</v>
      </c>
      <c r="G781" s="3" t="s">
        <v>20</v>
      </c>
      <c r="H781" s="2" t="s">
        <v>36</v>
      </c>
      <c r="I781" s="2" t="s">
        <v>2086</v>
      </c>
      <c r="J781" s="3" t="str">
        <f>HYPERLINK("https://www.boe.es/gazeta/dias/1818/01/22/pdfs/GMD-1818-10.pdf#page=7","Abrir facsímil")</f>
        <v>Abrir facsímil</v>
      </c>
      <c r="K781" s="3" t="s">
        <v>38</v>
      </c>
    </row>
    <row r="782" spans="1:11" ht="42" customHeight="1">
      <c r="A782" s="2" t="s">
        <v>2087</v>
      </c>
      <c r="B782" s="2" t="s">
        <v>2088</v>
      </c>
      <c r="C782" s="2" t="s">
        <v>26</v>
      </c>
      <c r="D782" s="2" t="s">
        <v>27</v>
      </c>
      <c r="E782" s="5">
        <v>-29897</v>
      </c>
      <c r="F782" s="3" t="s">
        <v>318</v>
      </c>
      <c r="G782" s="3" t="s">
        <v>106</v>
      </c>
      <c r="H782" s="2" t="s">
        <v>36</v>
      </c>
      <c r="I782" s="2" t="s">
        <v>2089</v>
      </c>
      <c r="J782" s="3" t="str">
        <f>HYPERLINK("https://www.boe.es/gazeta/dias/1818/02/21/pdfs/GMD-1818-23.pdf#page=5","Abrir facsímil")</f>
        <v>Abrir facsímil</v>
      </c>
      <c r="K782" s="3" t="s">
        <v>38</v>
      </c>
    </row>
    <row r="783" spans="1:11" ht="42" customHeight="1">
      <c r="A783" s="2" t="s">
        <v>2090</v>
      </c>
      <c r="B783" s="2" t="s">
        <v>2091</v>
      </c>
      <c r="C783" s="2" t="s">
        <v>26</v>
      </c>
      <c r="D783" s="2" t="s">
        <v>27</v>
      </c>
      <c r="E783" s="5">
        <v>-29726</v>
      </c>
      <c r="F783" s="3" t="s">
        <v>70</v>
      </c>
      <c r="G783" s="3" t="s">
        <v>106</v>
      </c>
      <c r="H783" s="2" t="s">
        <v>36</v>
      </c>
      <c r="I783" s="2" t="s">
        <v>2092</v>
      </c>
      <c r="J783" s="3" t="str">
        <f>HYPERLINK("https://www.boe.es/gazeta/dias/1818/08/11/pdfs/GMD-1818-96.pdf#page=5","Abrir facsímil")</f>
        <v>Abrir facsímil</v>
      </c>
      <c r="K783" s="3" t="s">
        <v>38</v>
      </c>
    </row>
    <row r="784" spans="1:11" ht="42" customHeight="1">
      <c r="A784" s="2" t="s">
        <v>2093</v>
      </c>
      <c r="B784" s="2" t="s">
        <v>2093</v>
      </c>
      <c r="C784" s="2" t="s">
        <v>26</v>
      </c>
      <c r="D784" s="2" t="s">
        <v>27</v>
      </c>
      <c r="E784" s="5">
        <v>-29943</v>
      </c>
      <c r="F784" s="3" t="s">
        <v>1837</v>
      </c>
      <c r="G784" s="3" t="s">
        <v>2094</v>
      </c>
      <c r="H784" s="2" t="s">
        <v>36</v>
      </c>
      <c r="I784" s="2" t="s">
        <v>2095</v>
      </c>
      <c r="J784" s="3" t="str">
        <f>HYPERLINK("https://www.boe.es/gazeta/dias/1818/01/06/pdfs/GMD-1818-3.pdf#page=4","Abrir facsímil")</f>
        <v>Abrir facsímil</v>
      </c>
      <c r="K784" s="3" t="s">
        <v>38</v>
      </c>
    </row>
    <row r="785" spans="1:11" ht="42" customHeight="1">
      <c r="A785" s="2" t="s">
        <v>2093</v>
      </c>
      <c r="B785" s="2" t="s">
        <v>2093</v>
      </c>
      <c r="C785" s="2" t="s">
        <v>26</v>
      </c>
      <c r="D785" s="2" t="s">
        <v>27</v>
      </c>
      <c r="E785" s="5">
        <v>-29915</v>
      </c>
      <c r="F785" s="3" t="s">
        <v>429</v>
      </c>
      <c r="G785" s="3" t="s">
        <v>120</v>
      </c>
      <c r="H785" s="2" t="s">
        <v>36</v>
      </c>
      <c r="I785" s="2" t="s">
        <v>2096</v>
      </c>
      <c r="J785" s="3" t="str">
        <f>HYPERLINK("https://www.boe.es/gazeta/dias/1818/02/03/pdfs/GMD-1818-15.pdf#page=2","Abrir facsímil")</f>
        <v>Abrir facsímil</v>
      </c>
      <c r="K785" s="3" t="s">
        <v>38</v>
      </c>
    </row>
    <row r="786" spans="1:11" ht="42" customHeight="1">
      <c r="A786" s="2" t="s">
        <v>2097</v>
      </c>
      <c r="B786" s="2" t="s">
        <v>2098</v>
      </c>
      <c r="C786" s="2" t="s">
        <v>68</v>
      </c>
      <c r="D786" s="2" t="s">
        <v>69</v>
      </c>
      <c r="E786" s="5">
        <v>-29670</v>
      </c>
      <c r="F786" s="3" t="s">
        <v>48</v>
      </c>
      <c r="G786" s="3" t="s">
        <v>45</v>
      </c>
      <c r="H786" s="2" t="s">
        <v>36</v>
      </c>
      <c r="I786" s="2" t="s">
        <v>2099</v>
      </c>
      <c r="J786" s="3" t="str">
        <f>HYPERLINK("https://www.boe.es/gazeta/dias/1818/10/06/pdfs/GMD-1818-120.pdf#page=8","Abrir facsímil")</f>
        <v>Abrir facsímil</v>
      </c>
      <c r="K786" s="3" t="s">
        <v>38</v>
      </c>
    </row>
    <row r="787" spans="1:11" ht="42" customHeight="1">
      <c r="A787" s="2" t="s">
        <v>2100</v>
      </c>
      <c r="B787" s="2" t="s">
        <v>2101</v>
      </c>
      <c r="C787" s="2" t="s">
        <v>26</v>
      </c>
      <c r="D787" s="2" t="s">
        <v>27</v>
      </c>
      <c r="E787" s="5">
        <v>-29934</v>
      </c>
      <c r="F787" s="3" t="s">
        <v>53</v>
      </c>
      <c r="G787" s="3" t="s">
        <v>59</v>
      </c>
      <c r="H787" s="2" t="s">
        <v>36</v>
      </c>
      <c r="I787" s="2" t="s">
        <v>2102</v>
      </c>
      <c r="J787" s="3" t="str">
        <f>HYPERLINK("https://www.boe.es/gazeta/dias/1818/01/15/pdfs/GMD-1818-7.pdf#page=6","Abrir facsímil")</f>
        <v>Abrir facsímil</v>
      </c>
      <c r="K787" s="3" t="s">
        <v>38</v>
      </c>
    </row>
    <row r="788" spans="1:11" ht="42" customHeight="1">
      <c r="A788" s="2" t="s">
        <v>2103</v>
      </c>
      <c r="B788" s="2" t="s">
        <v>2104</v>
      </c>
      <c r="C788" s="2" t="s">
        <v>57</v>
      </c>
      <c r="D788" s="2" t="s">
        <v>18</v>
      </c>
      <c r="E788" s="5">
        <v>-29904</v>
      </c>
      <c r="F788" s="3" t="s">
        <v>451</v>
      </c>
      <c r="G788" s="3" t="s">
        <v>45</v>
      </c>
      <c r="H788" s="2" t="s">
        <v>36</v>
      </c>
      <c r="I788" s="2" t="s">
        <v>2105</v>
      </c>
      <c r="J788" s="3" t="str">
        <f>HYPERLINK("https://www.boe.es/gazeta/dias/1818/02/14/pdfs/GMD-1818-20.pdf#page=8","Abrir facsímil")</f>
        <v>Abrir facsímil</v>
      </c>
      <c r="K788" s="3" t="s">
        <v>38</v>
      </c>
    </row>
    <row r="789" spans="1:11" ht="42" customHeight="1">
      <c r="A789" s="2" t="s">
        <v>2106</v>
      </c>
      <c r="B789" s="2" t="s">
        <v>2107</v>
      </c>
      <c r="C789" s="2" t="s">
        <v>63</v>
      </c>
      <c r="D789" s="2" t="s">
        <v>18</v>
      </c>
      <c r="E789" s="5">
        <v>-29834</v>
      </c>
      <c r="F789" s="3" t="s">
        <v>457</v>
      </c>
      <c r="G789" s="3" t="s">
        <v>458</v>
      </c>
      <c r="H789" s="2" t="s">
        <v>36</v>
      </c>
      <c r="I789" s="2" t="s">
        <v>2108</v>
      </c>
      <c r="J789" s="3" t="str">
        <f>HYPERLINK("https://www.boe.es/gazeta/dias/1818/04/25/pdfs/GMD-1818-50.pdf#page=8","Abrir facsímil")</f>
        <v>Abrir facsímil</v>
      </c>
      <c r="K789" s="3" t="s">
        <v>38</v>
      </c>
    </row>
    <row r="790" spans="1:11" ht="42" customHeight="1">
      <c r="A790" s="2" t="s">
        <v>2109</v>
      </c>
      <c r="B790" s="2" t="s">
        <v>2110</v>
      </c>
      <c r="C790" s="2" t="s">
        <v>63</v>
      </c>
      <c r="D790" s="2" t="s">
        <v>18</v>
      </c>
      <c r="E790" s="5">
        <v>-29729</v>
      </c>
      <c r="F790" s="3" t="s">
        <v>488</v>
      </c>
      <c r="G790" s="3" t="s">
        <v>489</v>
      </c>
      <c r="H790" s="2" t="s">
        <v>36</v>
      </c>
      <c r="I790" s="2" t="s">
        <v>2111</v>
      </c>
      <c r="J790" s="3" t="str">
        <f>HYPERLINK("https://www.boe.es/gazeta/dias/1818/08/08/pdfs/GMD-1818-95.pdf#page=8","Abrir facsímil")</f>
        <v>Abrir facsímil</v>
      </c>
      <c r="K790" s="3" t="s">
        <v>38</v>
      </c>
    </row>
    <row r="791" spans="1:11" ht="42" customHeight="1">
      <c r="A791" s="2" t="s">
        <v>2112</v>
      </c>
      <c r="B791" s="2" t="s">
        <v>2113</v>
      </c>
      <c r="C791" s="2" t="s">
        <v>26</v>
      </c>
      <c r="D791" s="2" t="s">
        <v>27</v>
      </c>
      <c r="E791" s="5">
        <v>-29687</v>
      </c>
      <c r="F791" s="3" t="s">
        <v>686</v>
      </c>
      <c r="G791" s="3" t="s">
        <v>106</v>
      </c>
      <c r="H791" s="2" t="s">
        <v>36</v>
      </c>
      <c r="I791" s="2" t="s">
        <v>2114</v>
      </c>
      <c r="J791" s="3" t="str">
        <f>HYPERLINK("https://www.boe.es/gazeta/dias/1818/09/19/pdfs/GMD-1818-113.pdf#page=5","Abrir facsímil")</f>
        <v>Abrir facsímil</v>
      </c>
      <c r="K791" s="3" t="s">
        <v>38</v>
      </c>
    </row>
    <row r="792" spans="1:11" ht="42" customHeight="1">
      <c r="A792" s="2" t="s">
        <v>2115</v>
      </c>
      <c r="B792" s="2" t="s">
        <v>2116</v>
      </c>
      <c r="C792" s="2" t="s">
        <v>26</v>
      </c>
      <c r="D792" s="2" t="s">
        <v>27</v>
      </c>
      <c r="E792" s="5">
        <v>-29913</v>
      </c>
      <c r="F792" s="3" t="s">
        <v>449</v>
      </c>
      <c r="G792" s="3" t="s">
        <v>45</v>
      </c>
      <c r="H792" s="2" t="s">
        <v>36</v>
      </c>
      <c r="I792" s="2" t="s">
        <v>2117</v>
      </c>
      <c r="J792" s="3" t="str">
        <f>HYPERLINK("https://www.boe.es/gazeta/dias/1818/02/05/pdfs/GMD-1818-16.pdf#page=8","Abrir facsímil")</f>
        <v>Abrir facsímil</v>
      </c>
      <c r="K792" s="3" t="s">
        <v>38</v>
      </c>
    </row>
    <row r="793" spans="1:11" ht="42" customHeight="1">
      <c r="A793" s="2" t="s">
        <v>2118</v>
      </c>
      <c r="B793" s="2" t="s">
        <v>2119</v>
      </c>
      <c r="C793" s="2" t="s">
        <v>33</v>
      </c>
      <c r="D793" s="2" t="s">
        <v>18</v>
      </c>
      <c r="E793" s="5">
        <v>-29698</v>
      </c>
      <c r="F793" s="3" t="s">
        <v>148</v>
      </c>
      <c r="G793" s="3" t="s">
        <v>29</v>
      </c>
      <c r="H793" s="2" t="s">
        <v>36</v>
      </c>
      <c r="I793" s="2" t="s">
        <v>2120</v>
      </c>
      <c r="J793" s="3" t="str">
        <f>HYPERLINK("https://www.boe.es/gazeta/dias/1818/09/08/pdfs/GMD-1818-108.pdf#page=4","Abrir facsímil")</f>
        <v>Abrir facsímil</v>
      </c>
      <c r="K793" s="3" t="s">
        <v>38</v>
      </c>
    </row>
    <row r="794" spans="1:11" ht="42" customHeight="1">
      <c r="A794" s="2" t="s">
        <v>2121</v>
      </c>
      <c r="B794" s="2" t="s">
        <v>2122</v>
      </c>
      <c r="C794" s="2" t="s">
        <v>26</v>
      </c>
      <c r="D794" s="2" t="s">
        <v>27</v>
      </c>
      <c r="E794" s="5">
        <v>-29661</v>
      </c>
      <c r="F794" s="3" t="s">
        <v>348</v>
      </c>
      <c r="G794" s="3" t="s">
        <v>2123</v>
      </c>
      <c r="H794" s="2" t="s">
        <v>21</v>
      </c>
      <c r="I794" s="2" t="s">
        <v>2124</v>
      </c>
      <c r="J794" s="3" t="str">
        <f>HYPERLINK("https://www.boe.es/gazeta/dias/1818/10/15/pdfs/GMD-1818-124.pdf#page=5","Abrir facsímil")</f>
        <v>Abrir facsímil</v>
      </c>
      <c r="K794" s="3" t="s">
        <v>23</v>
      </c>
    </row>
    <row r="795" spans="1:11" ht="42" customHeight="1">
      <c r="A795" s="2" t="s">
        <v>2125</v>
      </c>
      <c r="B795" s="2" t="s">
        <v>2126</v>
      </c>
      <c r="C795" s="2" t="s">
        <v>26</v>
      </c>
      <c r="D795" s="2" t="s">
        <v>27</v>
      </c>
      <c r="E795" s="5">
        <v>-29694</v>
      </c>
      <c r="F795" s="3" t="s">
        <v>528</v>
      </c>
      <c r="G795" s="3" t="s">
        <v>29</v>
      </c>
      <c r="H795" s="2" t="s">
        <v>36</v>
      </c>
      <c r="I795" s="2" t="s">
        <v>2127</v>
      </c>
      <c r="J795" s="3" t="str">
        <f>HYPERLINK("https://www.boe.es/gazeta/dias/1818/09/12/pdfs/GMD-1818-110.pdf#page=4","Abrir facsímil")</f>
        <v>Abrir facsímil</v>
      </c>
      <c r="K795" s="3" t="s">
        <v>38</v>
      </c>
    </row>
    <row r="796" spans="1:11" ht="42" customHeight="1">
      <c r="A796" s="2" t="s">
        <v>2125</v>
      </c>
      <c r="B796" s="2" t="s">
        <v>2126</v>
      </c>
      <c r="C796" s="2" t="s">
        <v>26</v>
      </c>
      <c r="D796" s="2" t="s">
        <v>27</v>
      </c>
      <c r="E796" s="5">
        <v>-29694</v>
      </c>
      <c r="F796" s="3" t="s">
        <v>528</v>
      </c>
      <c r="G796" s="3" t="s">
        <v>106</v>
      </c>
      <c r="H796" s="2" t="s">
        <v>36</v>
      </c>
      <c r="I796" s="2" t="s">
        <v>2128</v>
      </c>
      <c r="J796" s="3" t="str">
        <f>HYPERLINK("https://www.boe.es/gazeta/dias/1818/09/12/pdfs/GMD-1818-110.pdf#page=5","Abrir facsímil")</f>
        <v>Abrir facsímil</v>
      </c>
      <c r="K796" s="3" t="s">
        <v>38</v>
      </c>
    </row>
    <row r="797" spans="1:11" ht="42" customHeight="1">
      <c r="A797" s="2" t="s">
        <v>2129</v>
      </c>
      <c r="B797" s="2" t="s">
        <v>2130</v>
      </c>
      <c r="C797" s="2" t="s">
        <v>26</v>
      </c>
      <c r="D797" s="2" t="s">
        <v>27</v>
      </c>
      <c r="E797" s="5">
        <v>-29691</v>
      </c>
      <c r="F797" s="3" t="s">
        <v>144</v>
      </c>
      <c r="G797" s="3" t="s">
        <v>29</v>
      </c>
      <c r="H797" s="2" t="s">
        <v>36</v>
      </c>
      <c r="I797" s="2" t="s">
        <v>2131</v>
      </c>
      <c r="J797" s="3" t="str">
        <f>HYPERLINK("https://www.boe.es/gazeta/dias/1818/09/15/pdfs/GMD-1818-111.pdf#page=4","Abrir facsímil")</f>
        <v>Abrir facsímil</v>
      </c>
      <c r="K797" s="3" t="s">
        <v>38</v>
      </c>
    </row>
    <row r="798" spans="1:11" ht="42" customHeight="1">
      <c r="A798" s="2" t="s">
        <v>2132</v>
      </c>
      <c r="B798" s="2" t="s">
        <v>2133</v>
      </c>
      <c r="C798" s="2" t="s">
        <v>17</v>
      </c>
      <c r="D798" s="2" t="s">
        <v>18</v>
      </c>
      <c r="E798" s="5">
        <v>-29654</v>
      </c>
      <c r="F798" s="3" t="s">
        <v>219</v>
      </c>
      <c r="G798" s="3" t="s">
        <v>29</v>
      </c>
      <c r="H798" s="2" t="s">
        <v>36</v>
      </c>
      <c r="I798" s="2" t="s">
        <v>2134</v>
      </c>
      <c r="J798" s="3" t="str">
        <f>HYPERLINK("https://www.boe.es/gazeta/dias/1818/10/22/pdfs/GMD-1818-128.pdf#page=4","Abrir facsímil")</f>
        <v>Abrir facsímil</v>
      </c>
      <c r="K798" s="3" t="s">
        <v>38</v>
      </c>
    </row>
    <row r="799" spans="1:11" ht="42" customHeight="1">
      <c r="A799" s="2" t="s">
        <v>2132</v>
      </c>
      <c r="B799" s="2" t="s">
        <v>2133</v>
      </c>
      <c r="C799" s="2" t="s">
        <v>17</v>
      </c>
      <c r="D799" s="2" t="s">
        <v>18</v>
      </c>
      <c r="E799" s="5">
        <v>-29598</v>
      </c>
      <c r="F799" s="3" t="s">
        <v>98</v>
      </c>
      <c r="G799" s="3" t="s">
        <v>59</v>
      </c>
      <c r="H799" s="2" t="s">
        <v>36</v>
      </c>
      <c r="I799" s="2" t="s">
        <v>2135</v>
      </c>
      <c r="J799" s="3" t="str">
        <f>HYPERLINK("https://www.boe.es/gazeta/dias/1818/12/17/pdfs/GMD-1818-152.pdf#page=6","Abrir facsímil")</f>
        <v>Abrir facsímil</v>
      </c>
      <c r="K799" s="3" t="s">
        <v>38</v>
      </c>
    </row>
    <row r="800" spans="1:11" ht="42" customHeight="1">
      <c r="A800" s="2" t="s">
        <v>2136</v>
      </c>
      <c r="B800" s="2" t="s">
        <v>2137</v>
      </c>
      <c r="C800" s="2" t="s">
        <v>63</v>
      </c>
      <c r="D800" s="2" t="s">
        <v>18</v>
      </c>
      <c r="E800" s="5">
        <v>-29946</v>
      </c>
      <c r="F800" s="3" t="s">
        <v>724</v>
      </c>
      <c r="G800" s="3" t="s">
        <v>45</v>
      </c>
      <c r="H800" s="2" t="s">
        <v>36</v>
      </c>
      <c r="I800" s="2" t="s">
        <v>2138</v>
      </c>
      <c r="J800" s="3" t="str">
        <f>HYPERLINK("https://www.boe.es/gazeta/dias/1818/01/03/pdfs/GMD-1818-2.pdf#page=8","Abrir facsímil")</f>
        <v>Abrir facsímil</v>
      </c>
      <c r="K800" s="3" t="s">
        <v>38</v>
      </c>
    </row>
    <row r="801" spans="1:11" ht="42" customHeight="1">
      <c r="A801" s="2" t="s">
        <v>2139</v>
      </c>
      <c r="B801" s="2" t="s">
        <v>2140</v>
      </c>
      <c r="C801" s="2" t="s">
        <v>26</v>
      </c>
      <c r="D801" s="2" t="s">
        <v>27</v>
      </c>
      <c r="E801" s="5">
        <v>-29901</v>
      </c>
      <c r="F801" s="3" t="s">
        <v>417</v>
      </c>
      <c r="G801" s="3" t="s">
        <v>418</v>
      </c>
      <c r="H801" s="2" t="s">
        <v>36</v>
      </c>
      <c r="I801" s="2" t="s">
        <v>2141</v>
      </c>
      <c r="J801" s="3" t="str">
        <f>HYPERLINK("https://www.boe.es/gazeta/dias/1818/02/17/pdfs/GMD-1818-21.pdf#page=9","Abrir facsímil")</f>
        <v>Abrir facsímil</v>
      </c>
      <c r="K801" s="3" t="s">
        <v>38</v>
      </c>
    </row>
    <row r="802" spans="1:11" ht="42" customHeight="1">
      <c r="A802" s="2" t="s">
        <v>2142</v>
      </c>
      <c r="B802" s="2" t="s">
        <v>2143</v>
      </c>
      <c r="C802" s="2" t="s">
        <v>26</v>
      </c>
      <c r="D802" s="2" t="s">
        <v>27</v>
      </c>
      <c r="E802" s="5">
        <v>-29913</v>
      </c>
      <c r="F802" s="3" t="s">
        <v>449</v>
      </c>
      <c r="G802" s="3" t="s">
        <v>20</v>
      </c>
      <c r="H802" s="2" t="s">
        <v>36</v>
      </c>
      <c r="I802" s="2" t="s">
        <v>2144</v>
      </c>
      <c r="J802" s="3" t="str">
        <f>HYPERLINK("https://www.boe.es/gazeta/dias/1818/02/05/pdfs/GMD-1818-16.pdf#page=7","Abrir facsímil")</f>
        <v>Abrir facsímil</v>
      </c>
      <c r="K802" s="3" t="s">
        <v>38</v>
      </c>
    </row>
    <row r="803" spans="1:11" ht="42" customHeight="1">
      <c r="A803" s="2" t="s">
        <v>2145</v>
      </c>
      <c r="B803" s="2" t="s">
        <v>2146</v>
      </c>
      <c r="C803" s="2" t="s">
        <v>68</v>
      </c>
      <c r="D803" s="2" t="s">
        <v>69</v>
      </c>
      <c r="E803" s="5">
        <v>-29614</v>
      </c>
      <c r="F803" s="3" t="s">
        <v>620</v>
      </c>
      <c r="G803" s="3" t="s">
        <v>20</v>
      </c>
      <c r="H803" s="2" t="s">
        <v>36</v>
      </c>
      <c r="I803" s="2" t="s">
        <v>2147</v>
      </c>
      <c r="J803" s="3" t="str">
        <f>HYPERLINK("https://www.boe.es/gazeta/dias/1818/12/01/pdfs/GMD-1818-145.pdf#page=7","Abrir facsímil")</f>
        <v>Abrir facsímil</v>
      </c>
      <c r="K803" s="3" t="s">
        <v>38</v>
      </c>
    </row>
    <row r="804" spans="1:11" ht="42" customHeight="1">
      <c r="A804" s="2" t="s">
        <v>2148</v>
      </c>
      <c r="B804" s="2" t="s">
        <v>2149</v>
      </c>
      <c r="C804" s="2" t="s">
        <v>26</v>
      </c>
      <c r="D804" s="2" t="s">
        <v>27</v>
      </c>
      <c r="E804" s="5">
        <v>-29913</v>
      </c>
      <c r="F804" s="3" t="s">
        <v>449</v>
      </c>
      <c r="G804" s="3" t="s">
        <v>45</v>
      </c>
      <c r="H804" s="2" t="s">
        <v>36</v>
      </c>
      <c r="I804" s="2" t="s">
        <v>2150</v>
      </c>
      <c r="J804" s="3" t="str">
        <f>HYPERLINK("https://www.boe.es/gazeta/dias/1818/02/05/pdfs/GMD-1818-16.pdf#page=8","Abrir facsímil")</f>
        <v>Abrir facsímil</v>
      </c>
      <c r="K804" s="3" t="s">
        <v>38</v>
      </c>
    </row>
    <row r="805" spans="1:11" ht="42" customHeight="1">
      <c r="A805" s="2" t="s">
        <v>2151</v>
      </c>
      <c r="B805" s="2" t="s">
        <v>2152</v>
      </c>
      <c r="C805" s="2" t="s">
        <v>215</v>
      </c>
      <c r="D805" s="2" t="s">
        <v>18</v>
      </c>
      <c r="E805" s="5">
        <v>-29628</v>
      </c>
      <c r="F805" s="3" t="s">
        <v>58</v>
      </c>
      <c r="G805" s="3" t="s">
        <v>20</v>
      </c>
      <c r="H805" s="2" t="s">
        <v>36</v>
      </c>
      <c r="I805" s="2" t="s">
        <v>2153</v>
      </c>
      <c r="J805" s="3" t="str">
        <f>HYPERLINK("https://www.boe.es/gazeta/dias/1818/11/17/pdfs/GMD-1818-139.pdf#page=7","Abrir facsímil")</f>
        <v>Abrir facsímil</v>
      </c>
      <c r="K805" s="3" t="s">
        <v>38</v>
      </c>
    </row>
    <row r="806" spans="1:11" ht="42" customHeight="1">
      <c r="A806" s="2" t="s">
        <v>2154</v>
      </c>
      <c r="B806" s="2" t="s">
        <v>2155</v>
      </c>
      <c r="C806" s="2" t="s">
        <v>57</v>
      </c>
      <c r="D806" s="2" t="s">
        <v>18</v>
      </c>
      <c r="E806" s="5">
        <v>-29787</v>
      </c>
      <c r="F806" s="3" t="s">
        <v>343</v>
      </c>
      <c r="G806" s="3" t="s">
        <v>45</v>
      </c>
      <c r="H806" s="2" t="s">
        <v>36</v>
      </c>
      <c r="I806" s="2" t="s">
        <v>2156</v>
      </c>
      <c r="J806" s="3" t="str">
        <f>HYPERLINK("https://www.boe.es/gazeta/dias/1818/06/11/pdfs/GMD-1818-70.pdf#page=8","Abrir facsímil")</f>
        <v>Abrir facsímil</v>
      </c>
      <c r="K806" s="3" t="s">
        <v>38</v>
      </c>
    </row>
    <row r="807" spans="1:11" ht="42" customHeight="1">
      <c r="A807" s="2" t="s">
        <v>2157</v>
      </c>
      <c r="B807" s="2" t="s">
        <v>2158</v>
      </c>
      <c r="C807" s="2" t="s">
        <v>26</v>
      </c>
      <c r="D807" s="2" t="s">
        <v>27</v>
      </c>
      <c r="E807" s="5">
        <v>-29710</v>
      </c>
      <c r="F807" s="3" t="s">
        <v>1026</v>
      </c>
      <c r="G807" s="3" t="s">
        <v>1626</v>
      </c>
      <c r="H807" s="2" t="s">
        <v>36</v>
      </c>
      <c r="I807" s="2" t="s">
        <v>2159</v>
      </c>
      <c r="J807" s="3" t="str">
        <f>HYPERLINK("https://www.boe.es/gazeta/dias/1818/08/27/pdfs/GMD-1818-103.pdf#page=8","Abrir facsímil")</f>
        <v>Abrir facsímil</v>
      </c>
      <c r="K807" s="3" t="s">
        <v>38</v>
      </c>
    </row>
    <row r="808" spans="1:11" ht="42" customHeight="1">
      <c r="A808" s="2" t="s">
        <v>2160</v>
      </c>
      <c r="B808" s="2" t="s">
        <v>2161</v>
      </c>
      <c r="C808" s="2" t="s">
        <v>57</v>
      </c>
      <c r="D808" s="2" t="s">
        <v>18</v>
      </c>
      <c r="E808" s="5">
        <v>-29633</v>
      </c>
      <c r="F808" s="3" t="s">
        <v>2162</v>
      </c>
      <c r="G808" s="3" t="s">
        <v>45</v>
      </c>
      <c r="H808" s="2" t="s">
        <v>36</v>
      </c>
      <c r="I808" s="2" t="s">
        <v>2163</v>
      </c>
      <c r="J808" s="3" t="str">
        <f>HYPERLINK("https://www.boe.es/gazeta/dias/1818/11/12/pdfs/GMD-1818-137.pdf#page=8","Abrir facsímil")</f>
        <v>Abrir facsímil</v>
      </c>
      <c r="K808" s="3" t="s">
        <v>38</v>
      </c>
    </row>
    <row r="809" spans="1:11" ht="42" customHeight="1">
      <c r="A809" s="2" t="s">
        <v>2164</v>
      </c>
      <c r="B809" s="2" t="s">
        <v>2165</v>
      </c>
      <c r="C809" s="2" t="s">
        <v>97</v>
      </c>
      <c r="D809" s="2" t="s">
        <v>18</v>
      </c>
      <c r="E809" s="5">
        <v>-29593</v>
      </c>
      <c r="F809" s="3" t="s">
        <v>185</v>
      </c>
      <c r="G809" s="3" t="s">
        <v>45</v>
      </c>
      <c r="H809" s="2" t="s">
        <v>36</v>
      </c>
      <c r="I809" s="2" t="s">
        <v>2166</v>
      </c>
      <c r="J809" s="3" t="str">
        <f>HYPERLINK("https://www.boe.es/gazeta/dias/1818/12/22/pdfs/GMD-1818-154.pdf#page=8","Abrir facsímil")</f>
        <v>Abrir facsímil</v>
      </c>
      <c r="K809" s="3" t="s">
        <v>38</v>
      </c>
    </row>
    <row r="810" spans="1:11" ht="42" customHeight="1">
      <c r="A810" s="2" t="s">
        <v>2167</v>
      </c>
      <c r="B810" s="2" t="s">
        <v>2168</v>
      </c>
      <c r="C810" s="2" t="s">
        <v>26</v>
      </c>
      <c r="D810" s="2" t="s">
        <v>27</v>
      </c>
      <c r="E810" s="5">
        <v>-29815</v>
      </c>
      <c r="F810" s="3" t="s">
        <v>2169</v>
      </c>
      <c r="G810" s="3" t="s">
        <v>45</v>
      </c>
      <c r="H810" s="2" t="s">
        <v>36</v>
      </c>
      <c r="I810" s="2" t="s">
        <v>2170</v>
      </c>
      <c r="J810" s="3" t="str">
        <f>HYPERLINK("https://www.boe.es/gazeta/dias/1818/05/14/pdfs/GMD-1818-58.pdf#page=8","Abrir facsímil")</f>
        <v>Abrir facsímil</v>
      </c>
      <c r="K810" s="3" t="s">
        <v>38</v>
      </c>
    </row>
    <row r="811" spans="1:11" ht="42" customHeight="1">
      <c r="A811" s="2" t="s">
        <v>2171</v>
      </c>
      <c r="B811" s="2" t="s">
        <v>2172</v>
      </c>
      <c r="C811" s="2" t="s">
        <v>68</v>
      </c>
      <c r="D811" s="2" t="s">
        <v>69</v>
      </c>
      <c r="E811" s="5">
        <v>-29782</v>
      </c>
      <c r="F811" s="3" t="s">
        <v>226</v>
      </c>
      <c r="G811" s="3" t="s">
        <v>20</v>
      </c>
      <c r="H811" s="2" t="s">
        <v>21</v>
      </c>
      <c r="I811" s="2" t="s">
        <v>2173</v>
      </c>
      <c r="J811" s="3" t="str">
        <f>HYPERLINK("https://www.boe.es/gazeta/dias/1818/06/16/pdfs/GMD-1818-72.pdf#page=7","Abrir facsímil")</f>
        <v>Abrir facsímil</v>
      </c>
      <c r="K811" s="3" t="s">
        <v>23</v>
      </c>
    </row>
    <row r="812" spans="1:11" ht="42" customHeight="1">
      <c r="A812" s="2" t="s">
        <v>2174</v>
      </c>
      <c r="B812" s="2" t="s">
        <v>2174</v>
      </c>
      <c r="C812" s="2" t="s">
        <v>26</v>
      </c>
      <c r="D812" s="2" t="s">
        <v>27</v>
      </c>
      <c r="E812" s="5">
        <v>-29920</v>
      </c>
      <c r="F812" s="3" t="s">
        <v>201</v>
      </c>
      <c r="G812" s="3" t="s">
        <v>1510</v>
      </c>
      <c r="H812" s="2" t="s">
        <v>36</v>
      </c>
      <c r="I812" s="2" t="s">
        <v>2175</v>
      </c>
      <c r="J812" s="3" t="str">
        <f>HYPERLINK("https://www.boe.es/gazeta/dias/1818/01/29/pdfs/GMD-1818-13.pdf#page=9","Abrir facsímil")</f>
        <v>Abrir facsímil</v>
      </c>
      <c r="K812" s="3" t="s">
        <v>38</v>
      </c>
    </row>
    <row r="813" spans="1:11" ht="42" customHeight="1">
      <c r="A813" s="2" t="s">
        <v>2174</v>
      </c>
      <c r="B813" s="2" t="s">
        <v>2174</v>
      </c>
      <c r="C813" s="2" t="s">
        <v>26</v>
      </c>
      <c r="D813" s="2" t="s">
        <v>27</v>
      </c>
      <c r="E813" s="5">
        <v>-29920</v>
      </c>
      <c r="F813" s="3" t="s">
        <v>201</v>
      </c>
      <c r="G813" s="3" t="s">
        <v>503</v>
      </c>
      <c r="H813" s="2" t="s">
        <v>36</v>
      </c>
      <c r="I813" s="2" t="s">
        <v>2176</v>
      </c>
      <c r="J813" s="3" t="str">
        <f>HYPERLINK("https://www.boe.es/gazeta/dias/1818/01/29/pdfs/GMD-1818-13.pdf#page=10","Abrir facsímil")</f>
        <v>Abrir facsímil</v>
      </c>
      <c r="K813" s="3" t="s">
        <v>38</v>
      </c>
    </row>
    <row r="814" spans="1:11" ht="42" customHeight="1">
      <c r="A814" s="2" t="s">
        <v>2174</v>
      </c>
      <c r="B814" s="2" t="s">
        <v>2174</v>
      </c>
      <c r="C814" s="2" t="s">
        <v>26</v>
      </c>
      <c r="D814" s="2" t="s">
        <v>27</v>
      </c>
      <c r="E814" s="5">
        <v>-29920</v>
      </c>
      <c r="F814" s="3" t="s">
        <v>201</v>
      </c>
      <c r="G814" s="3" t="s">
        <v>106</v>
      </c>
      <c r="H814" s="2" t="s">
        <v>36</v>
      </c>
      <c r="I814" s="2" t="s">
        <v>2177</v>
      </c>
      <c r="J814" s="3" t="str">
        <f>HYPERLINK("https://www.boe.es/gazeta/dias/1818/01/29/pdfs/GMD-1818-13.pdf#page=5","Abrir facsímil")</f>
        <v>Abrir facsímil</v>
      </c>
      <c r="K814" s="3" t="s">
        <v>38</v>
      </c>
    </row>
    <row r="815" spans="1:11" ht="42" customHeight="1">
      <c r="A815" s="2" t="s">
        <v>2174</v>
      </c>
      <c r="B815" s="2" t="s">
        <v>2174</v>
      </c>
      <c r="C815" s="2" t="s">
        <v>26</v>
      </c>
      <c r="D815" s="2" t="s">
        <v>27</v>
      </c>
      <c r="E815" s="5">
        <v>-29920</v>
      </c>
      <c r="F815" s="3" t="s">
        <v>201</v>
      </c>
      <c r="G815" s="3" t="s">
        <v>20</v>
      </c>
      <c r="H815" s="2" t="s">
        <v>36</v>
      </c>
      <c r="I815" s="2" t="s">
        <v>2178</v>
      </c>
      <c r="J815" s="3" t="str">
        <f>HYPERLINK("https://www.boe.es/gazeta/dias/1818/01/29/pdfs/GMD-1818-13.pdf#page=7","Abrir facsímil")</f>
        <v>Abrir facsímil</v>
      </c>
      <c r="K815" s="3" t="s">
        <v>38</v>
      </c>
    </row>
    <row r="816" spans="1:11" ht="42" customHeight="1">
      <c r="A816" s="2" t="s">
        <v>2174</v>
      </c>
      <c r="B816" s="2" t="s">
        <v>2174</v>
      </c>
      <c r="C816" s="2" t="s">
        <v>26</v>
      </c>
      <c r="D816" s="2" t="s">
        <v>27</v>
      </c>
      <c r="E816" s="5">
        <v>-29920</v>
      </c>
      <c r="F816" s="3" t="s">
        <v>201</v>
      </c>
      <c r="G816" s="3" t="s">
        <v>45</v>
      </c>
      <c r="H816" s="2" t="s">
        <v>36</v>
      </c>
      <c r="I816" s="2" t="s">
        <v>2179</v>
      </c>
      <c r="J816" s="3" t="str">
        <f>HYPERLINK("https://www.boe.es/gazeta/dias/1818/01/29/pdfs/GMD-1818-13.pdf#page=8","Abrir facsímil")</f>
        <v>Abrir facsímil</v>
      </c>
      <c r="K816" s="3" t="s">
        <v>38</v>
      </c>
    </row>
    <row r="817" spans="1:11" ht="42" customHeight="1">
      <c r="A817" s="2" t="s">
        <v>2180</v>
      </c>
      <c r="B817" s="2" t="s">
        <v>2181</v>
      </c>
      <c r="C817" s="2" t="s">
        <v>17</v>
      </c>
      <c r="D817" s="2" t="s">
        <v>18</v>
      </c>
      <c r="E817" s="5">
        <v>-29920</v>
      </c>
      <c r="F817" s="3" t="s">
        <v>201</v>
      </c>
      <c r="G817" s="3" t="s">
        <v>503</v>
      </c>
      <c r="H817" s="2" t="s">
        <v>36</v>
      </c>
      <c r="I817" s="2" t="s">
        <v>2182</v>
      </c>
      <c r="J817" s="3" t="str">
        <f>HYPERLINK("https://www.boe.es/gazeta/dias/1818/01/29/pdfs/GMD-1818-13.pdf#page=10","Abrir facsímil")</f>
        <v>Abrir facsímil</v>
      </c>
      <c r="K817" s="3" t="s">
        <v>38</v>
      </c>
    </row>
    <row r="818" spans="1:11" ht="42" customHeight="1">
      <c r="A818" s="2" t="s">
        <v>2180</v>
      </c>
      <c r="B818" s="2" t="s">
        <v>2181</v>
      </c>
      <c r="C818" s="2" t="s">
        <v>26</v>
      </c>
      <c r="D818" s="2" t="s">
        <v>27</v>
      </c>
      <c r="E818" s="5">
        <v>-29920</v>
      </c>
      <c r="F818" s="3" t="s">
        <v>201</v>
      </c>
      <c r="G818" s="3" t="s">
        <v>85</v>
      </c>
      <c r="H818" s="2" t="s">
        <v>36</v>
      </c>
      <c r="I818" s="2" t="s">
        <v>2183</v>
      </c>
      <c r="J818" s="3" t="str">
        <f>HYPERLINK("https://www.boe.es/gazeta/dias/1818/01/29/pdfs/GMD-1818-13.pdf#page=3","Abrir facsímil")</f>
        <v>Abrir facsímil</v>
      </c>
      <c r="K818" s="3" t="s">
        <v>38</v>
      </c>
    </row>
    <row r="819" spans="1:11" ht="42" customHeight="1">
      <c r="A819" s="2" t="s">
        <v>2180</v>
      </c>
      <c r="B819" s="2" t="s">
        <v>2181</v>
      </c>
      <c r="C819" s="2" t="s">
        <v>26</v>
      </c>
      <c r="D819" s="2" t="s">
        <v>27</v>
      </c>
      <c r="E819" s="5">
        <v>-29920</v>
      </c>
      <c r="F819" s="3" t="s">
        <v>201</v>
      </c>
      <c r="G819" s="3" t="s">
        <v>29</v>
      </c>
      <c r="H819" s="2" t="s">
        <v>36</v>
      </c>
      <c r="I819" s="2" t="s">
        <v>2184</v>
      </c>
      <c r="J819" s="3" t="str">
        <f>HYPERLINK("https://www.boe.es/gazeta/dias/1818/01/29/pdfs/GMD-1818-13.pdf#page=4","Abrir facsímil")</f>
        <v>Abrir facsímil</v>
      </c>
      <c r="K819" s="3" t="s">
        <v>38</v>
      </c>
    </row>
    <row r="820" spans="1:11" ht="42" customHeight="1">
      <c r="A820" s="2" t="s">
        <v>2180</v>
      </c>
      <c r="B820" s="2" t="s">
        <v>2181</v>
      </c>
      <c r="C820" s="2" t="s">
        <v>26</v>
      </c>
      <c r="D820" s="2" t="s">
        <v>27</v>
      </c>
      <c r="E820" s="5">
        <v>-29920</v>
      </c>
      <c r="F820" s="3" t="s">
        <v>201</v>
      </c>
      <c r="G820" s="3" t="s">
        <v>106</v>
      </c>
      <c r="H820" s="2" t="s">
        <v>36</v>
      </c>
      <c r="I820" s="2" t="s">
        <v>2185</v>
      </c>
      <c r="J820" s="3" t="str">
        <f>HYPERLINK("https://www.boe.es/gazeta/dias/1818/01/29/pdfs/GMD-1818-13.pdf#page=5","Abrir facsímil")</f>
        <v>Abrir facsímil</v>
      </c>
      <c r="K820" s="3" t="s">
        <v>38</v>
      </c>
    </row>
    <row r="821" spans="1:11" ht="42" customHeight="1">
      <c r="A821" s="2" t="s">
        <v>2180</v>
      </c>
      <c r="B821" s="2" t="s">
        <v>2181</v>
      </c>
      <c r="C821" s="2" t="s">
        <v>26</v>
      </c>
      <c r="D821" s="2" t="s">
        <v>27</v>
      </c>
      <c r="E821" s="5">
        <v>-29920</v>
      </c>
      <c r="F821" s="3" t="s">
        <v>201</v>
      </c>
      <c r="G821" s="3" t="s">
        <v>45</v>
      </c>
      <c r="H821" s="2" t="s">
        <v>36</v>
      </c>
      <c r="I821" s="2" t="s">
        <v>2186</v>
      </c>
      <c r="J821" s="3" t="str">
        <f>HYPERLINK("https://www.boe.es/gazeta/dias/1818/01/29/pdfs/GMD-1818-13.pdf#page=8","Abrir facsímil")</f>
        <v>Abrir facsímil</v>
      </c>
      <c r="K821" s="3" t="s">
        <v>38</v>
      </c>
    </row>
    <row r="822" spans="1:11" ht="42" customHeight="1">
      <c r="A822" s="2" t="s">
        <v>2187</v>
      </c>
      <c r="B822" s="2" t="s">
        <v>2188</v>
      </c>
      <c r="C822" s="2" t="s">
        <v>63</v>
      </c>
      <c r="D822" s="2" t="s">
        <v>18</v>
      </c>
      <c r="E822" s="5">
        <v>-29717</v>
      </c>
      <c r="F822" s="3" t="s">
        <v>1644</v>
      </c>
      <c r="G822" s="3" t="s">
        <v>45</v>
      </c>
      <c r="H822" s="2" t="s">
        <v>36</v>
      </c>
      <c r="I822" s="2" t="s">
        <v>2189</v>
      </c>
      <c r="J822" s="3" t="str">
        <f>HYPERLINK("https://www.boe.es/gazeta/dias/1818/08/20/pdfs/GMD-1818-100.pdf#page=8","Abrir facsímil")</f>
        <v>Abrir facsímil</v>
      </c>
      <c r="K822" s="3" t="s">
        <v>38</v>
      </c>
    </row>
    <row r="823" spans="1:11" ht="42" customHeight="1">
      <c r="A823" s="2" t="s">
        <v>2190</v>
      </c>
      <c r="B823" s="2" t="s">
        <v>2191</v>
      </c>
      <c r="C823" s="2" t="s">
        <v>17</v>
      </c>
      <c r="D823" s="2" t="s">
        <v>18</v>
      </c>
      <c r="E823" s="5">
        <v>-29698</v>
      </c>
      <c r="F823" s="3" t="s">
        <v>148</v>
      </c>
      <c r="G823" s="3" t="s">
        <v>29</v>
      </c>
      <c r="H823" s="2" t="s">
        <v>21</v>
      </c>
      <c r="I823" s="2" t="s">
        <v>2192</v>
      </c>
      <c r="J823" s="3" t="str">
        <f>HYPERLINK("https://www.boe.es/gazeta/dias/1818/09/08/pdfs/GMD-1818-108.pdf#page=4","Abrir facsímil")</f>
        <v>Abrir facsímil</v>
      </c>
      <c r="K823" s="3" t="s">
        <v>23</v>
      </c>
    </row>
    <row r="824" spans="1:11" ht="42" customHeight="1">
      <c r="A824" s="2" t="s">
        <v>2193</v>
      </c>
      <c r="B824" s="2" t="s">
        <v>2193</v>
      </c>
      <c r="C824" s="2" t="s">
        <v>26</v>
      </c>
      <c r="D824" s="2" t="s">
        <v>27</v>
      </c>
      <c r="E824" s="5">
        <v>-29927</v>
      </c>
      <c r="F824" s="3" t="s">
        <v>1381</v>
      </c>
      <c r="G824" s="3" t="s">
        <v>1382</v>
      </c>
      <c r="H824" s="2" t="s">
        <v>36</v>
      </c>
      <c r="I824" s="2" t="s">
        <v>2194</v>
      </c>
      <c r="J824" s="3" t="str">
        <f>HYPERLINK("https://www.boe.es/gazeta/dias/1818/01/22/pdfs/GMD-1818-10.pdf#page=5","Abrir facsímil")</f>
        <v>Abrir facsímil</v>
      </c>
      <c r="K824" s="3" t="s">
        <v>38</v>
      </c>
    </row>
    <row r="825" spans="1:11" ht="42" customHeight="1">
      <c r="A825" s="2" t="s">
        <v>2195</v>
      </c>
      <c r="B825" s="2" t="s">
        <v>2196</v>
      </c>
      <c r="C825" s="2" t="s">
        <v>26</v>
      </c>
      <c r="D825" s="2" t="s">
        <v>27</v>
      </c>
      <c r="E825" s="5">
        <v>-29584</v>
      </c>
      <c r="F825" s="3" t="s">
        <v>1002</v>
      </c>
      <c r="G825" s="3" t="s">
        <v>20</v>
      </c>
      <c r="H825" s="2" t="s">
        <v>36</v>
      </c>
      <c r="I825" s="2" t="s">
        <v>2197</v>
      </c>
      <c r="J825" s="3" t="str">
        <f>HYPERLINK("https://www.boe.es/gazeta/dias/1818/12/31/pdfs/GMD-1818-159.pdf#page=7","Abrir facsímil")</f>
        <v>Abrir facsímil</v>
      </c>
      <c r="K825" s="3" t="s">
        <v>38</v>
      </c>
    </row>
    <row r="826" spans="1:11" ht="42" customHeight="1">
      <c r="A826" s="2" t="s">
        <v>2198</v>
      </c>
      <c r="B826" s="2" t="s">
        <v>2198</v>
      </c>
      <c r="C826" s="2" t="s">
        <v>26</v>
      </c>
      <c r="D826" s="2" t="s">
        <v>27</v>
      </c>
      <c r="E826" s="5">
        <v>-29740</v>
      </c>
      <c r="F826" s="3" t="s">
        <v>152</v>
      </c>
      <c r="G826" s="3" t="s">
        <v>29</v>
      </c>
      <c r="H826" s="2" t="s">
        <v>36</v>
      </c>
      <c r="I826" s="2" t="s">
        <v>2199</v>
      </c>
      <c r="J826" s="3" t="str">
        <f>HYPERLINK("https://www.boe.es/gazeta/dias/1818/07/28/pdfs/GMD-1818-90.pdf#page=4","Abrir facsímil")</f>
        <v>Abrir facsímil</v>
      </c>
      <c r="K826" s="3" t="s">
        <v>38</v>
      </c>
    </row>
    <row r="827" spans="1:11" ht="42" customHeight="1">
      <c r="A827" s="2" t="s">
        <v>2200</v>
      </c>
      <c r="B827" s="2" t="s">
        <v>2201</v>
      </c>
      <c r="C827" s="2" t="s">
        <v>33</v>
      </c>
      <c r="D827" s="2" t="s">
        <v>18</v>
      </c>
      <c r="E827" s="5">
        <v>-29813</v>
      </c>
      <c r="F827" s="3" t="s">
        <v>839</v>
      </c>
      <c r="G827" s="3" t="s">
        <v>45</v>
      </c>
      <c r="H827" s="2" t="s">
        <v>36</v>
      </c>
      <c r="I827" s="2" t="s">
        <v>2202</v>
      </c>
      <c r="J827" s="3" t="str">
        <f>HYPERLINK("https://www.boe.es/gazeta/dias/1818/05/16/pdfs/GMD-1818-59.pdf#page=8","Abrir facsímil")</f>
        <v>Abrir facsímil</v>
      </c>
      <c r="K827" s="3" t="s">
        <v>38</v>
      </c>
    </row>
    <row r="828" spans="1:11" ht="42" customHeight="1">
      <c r="A828" s="2" t="s">
        <v>2203</v>
      </c>
      <c r="B828" s="2" t="s">
        <v>2203</v>
      </c>
      <c r="C828" s="2" t="s">
        <v>26</v>
      </c>
      <c r="D828" s="2" t="s">
        <v>27</v>
      </c>
      <c r="E828" s="5">
        <v>-29656</v>
      </c>
      <c r="F828" s="3" t="s">
        <v>601</v>
      </c>
      <c r="G828" s="3" t="s">
        <v>85</v>
      </c>
      <c r="H828" s="2" t="s">
        <v>36</v>
      </c>
      <c r="I828" s="2" t="s">
        <v>2204</v>
      </c>
      <c r="J828" s="3" t="str">
        <f>HYPERLINK("https://www.boe.es/gazeta/dias/1818/10/20/pdfs/GMD-1818-127.pdf#page=3","Abrir facsímil")</f>
        <v>Abrir facsímil</v>
      </c>
      <c r="K828" s="3" t="s">
        <v>38</v>
      </c>
    </row>
    <row r="829" spans="1:11" ht="42" customHeight="1">
      <c r="A829" s="2" t="s">
        <v>2205</v>
      </c>
      <c r="B829" s="2" t="s">
        <v>2205</v>
      </c>
      <c r="C829" s="2" t="s">
        <v>215</v>
      </c>
      <c r="D829" s="2" t="s">
        <v>18</v>
      </c>
      <c r="E829" s="5">
        <v>-29691</v>
      </c>
      <c r="F829" s="3" t="s">
        <v>144</v>
      </c>
      <c r="G829" s="3" t="s">
        <v>120</v>
      </c>
      <c r="H829" s="2" t="s">
        <v>36</v>
      </c>
      <c r="I829" s="2" t="s">
        <v>2206</v>
      </c>
      <c r="J829" s="3" t="str">
        <f>HYPERLINK("https://www.boe.es/gazeta/dias/1818/09/15/pdfs/GMD-1818-111.pdf#page=2","Abrir facsímil")</f>
        <v>Abrir facsímil</v>
      </c>
      <c r="K829" s="3" t="s">
        <v>38</v>
      </c>
    </row>
    <row r="830" spans="1:11" ht="42" customHeight="1">
      <c r="A830" s="2" t="s">
        <v>2207</v>
      </c>
      <c r="B830" s="2" t="s">
        <v>2207</v>
      </c>
      <c r="C830" s="2" t="s">
        <v>26</v>
      </c>
      <c r="D830" s="2" t="s">
        <v>27</v>
      </c>
      <c r="E830" s="5">
        <v>-29773</v>
      </c>
      <c r="F830" s="3" t="s">
        <v>424</v>
      </c>
      <c r="G830" s="3" t="s">
        <v>49</v>
      </c>
      <c r="H830" s="2" t="s">
        <v>36</v>
      </c>
      <c r="I830" s="2" t="s">
        <v>2208</v>
      </c>
      <c r="J830" s="3" t="str">
        <f>HYPERLINK("https://www.boe.es/gazeta/dias/1818/06/25/pdfs/GMD-1818-76.pdf#page=1","Abrir facsímil")</f>
        <v>Abrir facsímil</v>
      </c>
      <c r="K830" s="3" t="s">
        <v>38</v>
      </c>
    </row>
    <row r="831" spans="1:11" ht="42" customHeight="1">
      <c r="A831" s="2" t="s">
        <v>2207</v>
      </c>
      <c r="B831" s="2" t="s">
        <v>2207</v>
      </c>
      <c r="C831" s="2" t="s">
        <v>26</v>
      </c>
      <c r="D831" s="2" t="s">
        <v>27</v>
      </c>
      <c r="E831" s="5">
        <v>-29598</v>
      </c>
      <c r="F831" s="3" t="s">
        <v>98</v>
      </c>
      <c r="G831" s="3" t="s">
        <v>106</v>
      </c>
      <c r="H831" s="2" t="s">
        <v>36</v>
      </c>
      <c r="I831" s="2" t="s">
        <v>2209</v>
      </c>
      <c r="J831" s="3" t="str">
        <f>HYPERLINK("https://www.boe.es/gazeta/dias/1818/12/17/pdfs/GMD-1818-152.pdf#page=5","Abrir facsímil")</f>
        <v>Abrir facsímil</v>
      </c>
      <c r="K831" s="3" t="s">
        <v>38</v>
      </c>
    </row>
    <row r="832" spans="1:11" ht="42" customHeight="1">
      <c r="A832" s="2" t="s">
        <v>2207</v>
      </c>
      <c r="B832" s="2" t="s">
        <v>2207</v>
      </c>
      <c r="C832" s="2" t="s">
        <v>68</v>
      </c>
      <c r="D832" s="2" t="s">
        <v>69</v>
      </c>
      <c r="E832" s="5">
        <v>-29591</v>
      </c>
      <c r="F832" s="3" t="s">
        <v>1414</v>
      </c>
      <c r="G832" s="3" t="s">
        <v>45</v>
      </c>
      <c r="H832" s="2" t="s">
        <v>36</v>
      </c>
      <c r="I832" s="2" t="s">
        <v>2210</v>
      </c>
      <c r="J832" s="3" t="str">
        <f>HYPERLINK("https://www.boe.es/gazeta/dias/1818/12/24/pdfs/GMD-1818-155.pdf#page=8","Abrir facsímil")</f>
        <v>Abrir facsímil</v>
      </c>
      <c r="K832" s="3" t="s">
        <v>38</v>
      </c>
    </row>
    <row r="833" spans="1:11" ht="42" customHeight="1">
      <c r="A833" s="2" t="s">
        <v>2211</v>
      </c>
      <c r="B833" s="2" t="s">
        <v>2212</v>
      </c>
      <c r="C833" s="2" t="s">
        <v>68</v>
      </c>
      <c r="D833" s="2" t="s">
        <v>69</v>
      </c>
      <c r="E833" s="5">
        <v>-29827</v>
      </c>
      <c r="F833" s="3" t="s">
        <v>280</v>
      </c>
      <c r="G833" s="3" t="s">
        <v>20</v>
      </c>
      <c r="H833" s="2" t="s">
        <v>36</v>
      </c>
      <c r="I833" s="2" t="s">
        <v>2213</v>
      </c>
      <c r="J833" s="3" t="str">
        <f>HYPERLINK("https://www.boe.es/gazeta/dias/1818/05/02/pdfs/GMD-1818-53.pdf#page=7","Abrir facsímil")</f>
        <v>Abrir facsímil</v>
      </c>
      <c r="K833" s="3" t="s">
        <v>38</v>
      </c>
    </row>
    <row r="834" spans="1:11" ht="42" customHeight="1">
      <c r="A834" s="2" t="s">
        <v>2214</v>
      </c>
      <c r="B834" s="2" t="s">
        <v>2215</v>
      </c>
      <c r="C834" s="2" t="s">
        <v>26</v>
      </c>
      <c r="D834" s="2" t="s">
        <v>27</v>
      </c>
      <c r="E834" s="5">
        <v>-29761</v>
      </c>
      <c r="F834" s="3" t="s">
        <v>168</v>
      </c>
      <c r="G834" s="3" t="s">
        <v>20</v>
      </c>
      <c r="H834" s="2" t="s">
        <v>36</v>
      </c>
      <c r="I834" s="2" t="s">
        <v>2216</v>
      </c>
      <c r="J834" s="3" t="str">
        <f>HYPERLINK("https://www.boe.es/gazeta/dias/1818/07/07/pdfs/GMD-1818-81.pdf#page=7","Abrir facsímil")</f>
        <v>Abrir facsímil</v>
      </c>
      <c r="K834" s="3" t="s">
        <v>38</v>
      </c>
    </row>
    <row r="835" spans="1:11" ht="42" customHeight="1">
      <c r="A835" s="2" t="s">
        <v>2217</v>
      </c>
      <c r="B835" s="2" t="s">
        <v>2218</v>
      </c>
      <c r="C835" s="2" t="s">
        <v>57</v>
      </c>
      <c r="D835" s="2" t="s">
        <v>18</v>
      </c>
      <c r="E835" s="5">
        <v>-29668</v>
      </c>
      <c r="F835" s="3" t="s">
        <v>2219</v>
      </c>
      <c r="G835" s="3" t="s">
        <v>45</v>
      </c>
      <c r="H835" s="2" t="s">
        <v>36</v>
      </c>
      <c r="I835" s="2" t="s">
        <v>2220</v>
      </c>
      <c r="J835" s="3" t="str">
        <f>HYPERLINK("https://www.boe.es/gazeta/dias/1818/10/08/pdfs/GMD-1818-121.pdf#page=8","Abrir facsímil")</f>
        <v>Abrir facsímil</v>
      </c>
      <c r="K835" s="3" t="s">
        <v>38</v>
      </c>
    </row>
    <row r="836" spans="1:11" ht="42" customHeight="1">
      <c r="A836" s="2" t="s">
        <v>2221</v>
      </c>
      <c r="B836" s="2" t="s">
        <v>2221</v>
      </c>
      <c r="C836" s="2" t="s">
        <v>17</v>
      </c>
      <c r="D836" s="2" t="s">
        <v>18</v>
      </c>
      <c r="E836" s="5">
        <v>-29845</v>
      </c>
      <c r="F836" s="3" t="s">
        <v>105</v>
      </c>
      <c r="G836" s="3" t="s">
        <v>2222</v>
      </c>
      <c r="H836" s="2" t="s">
        <v>36</v>
      </c>
      <c r="I836" s="2" t="s">
        <v>2223</v>
      </c>
      <c r="J836" s="3" t="str">
        <f>HYPERLINK("https://www.boe.es/gazeta/dias/1818/04/14/pdfs/GMD-1818-45.pdf#page=2","Abrir facsímil")</f>
        <v>Abrir facsímil</v>
      </c>
      <c r="K836" s="3" t="s">
        <v>38</v>
      </c>
    </row>
    <row r="837" spans="1:11" ht="42" customHeight="1">
      <c r="A837" s="2" t="s">
        <v>2224</v>
      </c>
      <c r="B837" s="2" t="s">
        <v>2225</v>
      </c>
      <c r="C837" s="2" t="s">
        <v>68</v>
      </c>
      <c r="D837" s="2" t="s">
        <v>69</v>
      </c>
      <c r="E837" s="5">
        <v>-29799</v>
      </c>
      <c r="F837" s="3" t="s">
        <v>135</v>
      </c>
      <c r="G837" s="3" t="s">
        <v>45</v>
      </c>
      <c r="H837" s="2" t="s">
        <v>21</v>
      </c>
      <c r="I837" s="2" t="s">
        <v>2226</v>
      </c>
      <c r="J837" s="3" t="str">
        <f>HYPERLINK("https://www.boe.es/gazeta/dias/1818/05/30/pdfs/GMD-1818-65.pdf#page=8","Abrir facsímil")</f>
        <v>Abrir facsímil</v>
      </c>
      <c r="K837" s="3" t="s">
        <v>23</v>
      </c>
    </row>
    <row r="838" spans="1:11" ht="42" customHeight="1">
      <c r="A838" s="2" t="s">
        <v>2227</v>
      </c>
      <c r="B838" s="2" t="s">
        <v>2228</v>
      </c>
      <c r="C838" s="2" t="s">
        <v>63</v>
      </c>
      <c r="D838" s="2" t="s">
        <v>18</v>
      </c>
      <c r="E838" s="5">
        <v>-29668</v>
      </c>
      <c r="F838" s="3" t="s">
        <v>2219</v>
      </c>
      <c r="G838" s="3" t="s">
        <v>45</v>
      </c>
      <c r="H838" s="2" t="s">
        <v>36</v>
      </c>
      <c r="I838" s="2" t="s">
        <v>2229</v>
      </c>
      <c r="J838" s="3" t="str">
        <f>HYPERLINK("https://www.boe.es/gazeta/dias/1818/10/08/pdfs/GMD-1818-121.pdf#page=8","Abrir facsímil")</f>
        <v>Abrir facsímil</v>
      </c>
      <c r="K838" s="3" t="s">
        <v>38</v>
      </c>
    </row>
    <row r="839" spans="1:11" ht="42" customHeight="1">
      <c r="A839" s="2" t="s">
        <v>2230</v>
      </c>
      <c r="B839" s="2" t="s">
        <v>2231</v>
      </c>
      <c r="C839" s="2" t="s">
        <v>17</v>
      </c>
      <c r="D839" s="2" t="s">
        <v>18</v>
      </c>
      <c r="E839" s="5">
        <v>-29680</v>
      </c>
      <c r="F839" s="3" t="s">
        <v>865</v>
      </c>
      <c r="G839" s="3" t="s">
        <v>20</v>
      </c>
      <c r="H839" s="2" t="s">
        <v>36</v>
      </c>
      <c r="I839" s="2" t="s">
        <v>2232</v>
      </c>
      <c r="J839" s="3" t="str">
        <f>HYPERLINK("https://www.boe.es/gazeta/dias/1818/09/26/pdfs/GMD-1818-116.pdf#page=7","Abrir facsímil")</f>
        <v>Abrir facsímil</v>
      </c>
      <c r="K839" s="3" t="s">
        <v>38</v>
      </c>
    </row>
    <row r="840" spans="1:11" ht="42" customHeight="1">
      <c r="A840" s="2" t="s">
        <v>2233</v>
      </c>
      <c r="B840" s="2" t="s">
        <v>2234</v>
      </c>
      <c r="C840" s="2" t="s">
        <v>17</v>
      </c>
      <c r="D840" s="2" t="s">
        <v>18</v>
      </c>
      <c r="E840" s="5">
        <v>-29934</v>
      </c>
      <c r="F840" s="3" t="s">
        <v>53</v>
      </c>
      <c r="G840" s="3" t="s">
        <v>20</v>
      </c>
      <c r="H840" s="2" t="s">
        <v>36</v>
      </c>
      <c r="I840" s="2" t="s">
        <v>2235</v>
      </c>
      <c r="J840" s="3" t="str">
        <f>HYPERLINK("https://www.boe.es/gazeta/dias/1818/01/15/pdfs/GMD-1818-7.pdf#page=7","Abrir facsímil")</f>
        <v>Abrir facsímil</v>
      </c>
      <c r="K840" s="3" t="s">
        <v>38</v>
      </c>
    </row>
    <row r="841" spans="1:11" ht="42" customHeight="1">
      <c r="A841" s="2" t="s">
        <v>2236</v>
      </c>
      <c r="B841" s="2" t="s">
        <v>2237</v>
      </c>
      <c r="C841" s="2" t="s">
        <v>26</v>
      </c>
      <c r="D841" s="2" t="s">
        <v>27</v>
      </c>
      <c r="E841" s="5">
        <v>-29878</v>
      </c>
      <c r="F841" s="3" t="s">
        <v>353</v>
      </c>
      <c r="G841" s="3" t="s">
        <v>106</v>
      </c>
      <c r="H841" s="2" t="s">
        <v>36</v>
      </c>
      <c r="I841" s="2" t="s">
        <v>2238</v>
      </c>
      <c r="J841" s="3" t="str">
        <f>HYPERLINK("https://www.boe.es/gazeta/dias/1818/03/12/pdfs/GMD-1818-31.pdf#page=5","Abrir facsímil")</f>
        <v>Abrir facsímil</v>
      </c>
      <c r="K841" s="3" t="s">
        <v>38</v>
      </c>
    </row>
    <row r="842" spans="1:11" ht="42" customHeight="1">
      <c r="A842" s="2" t="s">
        <v>2236</v>
      </c>
      <c r="B842" s="2" t="s">
        <v>2237</v>
      </c>
      <c r="C842" s="2" t="s">
        <v>26</v>
      </c>
      <c r="D842" s="2" t="s">
        <v>27</v>
      </c>
      <c r="E842" s="5">
        <v>-29876</v>
      </c>
      <c r="F842" s="3" t="s">
        <v>338</v>
      </c>
      <c r="G842" s="3" t="s">
        <v>29</v>
      </c>
      <c r="H842" s="2" t="s">
        <v>36</v>
      </c>
      <c r="I842" s="2" t="s">
        <v>2239</v>
      </c>
      <c r="J842" s="3" t="str">
        <f>HYPERLINK("https://www.boe.es/gazeta/dias/1818/03/14/pdfs/GMD-1818-32.pdf#page=4","Abrir facsímil")</f>
        <v>Abrir facsímil</v>
      </c>
      <c r="K842" s="3" t="s">
        <v>38</v>
      </c>
    </row>
    <row r="843" spans="1:11" ht="42" customHeight="1">
      <c r="A843" s="2" t="s">
        <v>2240</v>
      </c>
      <c r="B843" s="2" t="s">
        <v>2241</v>
      </c>
      <c r="C843" s="2" t="s">
        <v>33</v>
      </c>
      <c r="D843" s="2" t="s">
        <v>18</v>
      </c>
      <c r="E843" s="5">
        <v>-29771</v>
      </c>
      <c r="F843" s="3" t="s">
        <v>1260</v>
      </c>
      <c r="G843" s="3" t="s">
        <v>45</v>
      </c>
      <c r="H843" s="2" t="s">
        <v>36</v>
      </c>
      <c r="I843" s="2" t="s">
        <v>2242</v>
      </c>
      <c r="J843" s="3" t="str">
        <f>HYPERLINK("https://www.boe.es/gazeta/dias/1818/06/27/pdfs/GMD-1818-77.pdf#page=8","Abrir facsímil")</f>
        <v>Abrir facsímil</v>
      </c>
      <c r="K843" s="3" t="s">
        <v>38</v>
      </c>
    </row>
    <row r="844" spans="1:11" ht="42" customHeight="1">
      <c r="A844" s="2" t="s">
        <v>2243</v>
      </c>
      <c r="B844" s="2" t="s">
        <v>2244</v>
      </c>
      <c r="C844" s="2" t="s">
        <v>26</v>
      </c>
      <c r="D844" s="2" t="s">
        <v>27</v>
      </c>
      <c r="E844" s="5">
        <v>-29904</v>
      </c>
      <c r="F844" s="3" t="s">
        <v>451</v>
      </c>
      <c r="G844" s="3" t="s">
        <v>45</v>
      </c>
      <c r="H844" s="2" t="s">
        <v>21</v>
      </c>
      <c r="I844" s="2" t="s">
        <v>2245</v>
      </c>
      <c r="J844" s="3" t="str">
        <f>HYPERLINK("https://www.boe.es/gazeta/dias/1818/02/14/pdfs/GMD-1818-20.pdf#page=8","Abrir facsímil")</f>
        <v>Abrir facsímil</v>
      </c>
      <c r="K844" s="3" t="s">
        <v>23</v>
      </c>
    </row>
    <row r="845" spans="1:11" ht="42" customHeight="1">
      <c r="A845" s="2" t="s">
        <v>2246</v>
      </c>
      <c r="B845" s="2" t="s">
        <v>2247</v>
      </c>
      <c r="C845" s="2" t="s">
        <v>26</v>
      </c>
      <c r="D845" s="2" t="s">
        <v>27</v>
      </c>
      <c r="E845" s="5">
        <v>-29904</v>
      </c>
      <c r="F845" s="3" t="s">
        <v>451</v>
      </c>
      <c r="G845" s="3" t="s">
        <v>45</v>
      </c>
      <c r="H845" s="2" t="s">
        <v>21</v>
      </c>
      <c r="I845" s="2" t="s">
        <v>2248</v>
      </c>
      <c r="J845" s="3" t="str">
        <f>HYPERLINK("https://www.boe.es/gazeta/dias/1818/02/14/pdfs/GMD-1818-20.pdf#page=8","Abrir facsímil")</f>
        <v>Abrir facsímil</v>
      </c>
      <c r="K845" s="3" t="s">
        <v>23</v>
      </c>
    </row>
    <row r="846" spans="1:11" ht="42" customHeight="1">
      <c r="A846" s="2" t="s">
        <v>2249</v>
      </c>
      <c r="B846" s="2" t="s">
        <v>2250</v>
      </c>
      <c r="C846" s="2" t="s">
        <v>26</v>
      </c>
      <c r="D846" s="2" t="s">
        <v>27</v>
      </c>
      <c r="E846" s="5">
        <v>-29589</v>
      </c>
      <c r="F846" s="3" t="s">
        <v>210</v>
      </c>
      <c r="G846" s="3" t="s">
        <v>59</v>
      </c>
      <c r="H846" s="2" t="s">
        <v>36</v>
      </c>
      <c r="I846" s="2" t="s">
        <v>2251</v>
      </c>
      <c r="J846" s="3" t="str">
        <f>HYPERLINK("https://www.boe.es/gazeta/dias/1818/12/26/pdfs/GMD-1818-156.pdf#page=6","Abrir facsímil")</f>
        <v>Abrir facsímil</v>
      </c>
      <c r="K846" s="3" t="s">
        <v>38</v>
      </c>
    </row>
    <row r="847" spans="1:11" ht="42" customHeight="1">
      <c r="A847" s="2" t="s">
        <v>2252</v>
      </c>
      <c r="B847" s="2" t="s">
        <v>2253</v>
      </c>
      <c r="C847" s="2" t="s">
        <v>33</v>
      </c>
      <c r="D847" s="2" t="s">
        <v>18</v>
      </c>
      <c r="E847" s="5">
        <v>-29771</v>
      </c>
      <c r="F847" s="3" t="s">
        <v>1260</v>
      </c>
      <c r="G847" s="3" t="s">
        <v>45</v>
      </c>
      <c r="H847" s="2" t="s">
        <v>36</v>
      </c>
      <c r="I847" s="2" t="s">
        <v>2254</v>
      </c>
      <c r="J847" s="3" t="str">
        <f>HYPERLINK("https://www.boe.es/gazeta/dias/1818/06/27/pdfs/GMD-1818-77.pdf#page=8","Abrir facsímil")</f>
        <v>Abrir facsímil</v>
      </c>
      <c r="K847" s="3" t="s">
        <v>38</v>
      </c>
    </row>
    <row r="848" spans="1:11" ht="42" customHeight="1">
      <c r="A848" s="2" t="s">
        <v>2255</v>
      </c>
      <c r="B848" s="2" t="s">
        <v>2255</v>
      </c>
      <c r="C848" s="2" t="s">
        <v>17</v>
      </c>
      <c r="D848" s="2" t="s">
        <v>18</v>
      </c>
      <c r="E848" s="5">
        <v>-29689</v>
      </c>
      <c r="F848" s="3" t="s">
        <v>303</v>
      </c>
      <c r="G848" s="3" t="s">
        <v>1779</v>
      </c>
      <c r="H848" s="2" t="s">
        <v>36</v>
      </c>
      <c r="I848" s="2" t="s">
        <v>2256</v>
      </c>
      <c r="J848" s="3" t="str">
        <f>HYPERLINK("https://www.boe.es/gazeta/dias/1818/09/17/pdfs/GMD-1818-112.pdf#page=3","Abrir facsímil")</f>
        <v>Abrir facsímil</v>
      </c>
      <c r="K848" s="3" t="s">
        <v>38</v>
      </c>
    </row>
    <row r="849" spans="1:11" ht="42" customHeight="1">
      <c r="A849" s="2" t="s">
        <v>2257</v>
      </c>
      <c r="B849" s="2" t="s">
        <v>2257</v>
      </c>
      <c r="C849" s="2" t="s">
        <v>26</v>
      </c>
      <c r="D849" s="2" t="s">
        <v>27</v>
      </c>
      <c r="E849" s="5">
        <v>-29948</v>
      </c>
      <c r="F849" s="3" t="s">
        <v>199</v>
      </c>
      <c r="G849" s="3" t="s">
        <v>544</v>
      </c>
      <c r="H849" s="2" t="s">
        <v>36</v>
      </c>
      <c r="I849" s="2" t="s">
        <v>2258</v>
      </c>
      <c r="J849" s="3" t="str">
        <f>HYPERLINK("https://www.boe.es/gazeta/dias/1818/01/01/pdfs/GMD-1818-1.pdf#page=6","Abrir facsímil")</f>
        <v>Abrir facsímil</v>
      </c>
      <c r="K849" s="3" t="s">
        <v>38</v>
      </c>
    </row>
    <row r="850" spans="1:11" ht="42" customHeight="1">
      <c r="A850" s="2" t="s">
        <v>2257</v>
      </c>
      <c r="B850" s="2" t="s">
        <v>2257</v>
      </c>
      <c r="C850" s="2" t="s">
        <v>17</v>
      </c>
      <c r="D850" s="2" t="s">
        <v>18</v>
      </c>
      <c r="E850" s="5">
        <v>-29941</v>
      </c>
      <c r="F850" s="3" t="s">
        <v>2259</v>
      </c>
      <c r="G850" s="3" t="s">
        <v>29</v>
      </c>
      <c r="H850" s="2" t="s">
        <v>36</v>
      </c>
      <c r="I850" s="2" t="s">
        <v>2260</v>
      </c>
      <c r="J850" s="3" t="str">
        <f>HYPERLINK("https://www.boe.es/gazeta/dias/1818/01/08/pdfs/GMD-1818-4.pdf#page=4","Abrir facsímil")</f>
        <v>Abrir facsímil</v>
      </c>
      <c r="K850" s="3" t="s">
        <v>38</v>
      </c>
    </row>
    <row r="851" spans="1:11" ht="42" customHeight="1">
      <c r="A851" s="2" t="s">
        <v>2257</v>
      </c>
      <c r="B851" s="2" t="s">
        <v>2257</v>
      </c>
      <c r="C851" s="2" t="s">
        <v>68</v>
      </c>
      <c r="D851" s="2" t="s">
        <v>69</v>
      </c>
      <c r="E851" s="5">
        <v>-29911</v>
      </c>
      <c r="F851" s="3" t="s">
        <v>509</v>
      </c>
      <c r="G851" s="3" t="s">
        <v>45</v>
      </c>
      <c r="H851" s="2" t="s">
        <v>36</v>
      </c>
      <c r="I851" s="2" t="s">
        <v>2261</v>
      </c>
      <c r="J851" s="3" t="str">
        <f>HYPERLINK("https://www.boe.es/gazeta/dias/1818/02/07/pdfs/GMD-1818-17.pdf#page=8","Abrir facsímil")</f>
        <v>Abrir facsímil</v>
      </c>
      <c r="K851" s="3" t="s">
        <v>38</v>
      </c>
    </row>
    <row r="852" spans="1:11" ht="42" customHeight="1">
      <c r="A852" s="2" t="s">
        <v>2257</v>
      </c>
      <c r="B852" s="2" t="s">
        <v>2257</v>
      </c>
      <c r="C852" s="2" t="s">
        <v>26</v>
      </c>
      <c r="D852" s="2" t="s">
        <v>27</v>
      </c>
      <c r="E852" s="5">
        <v>-29904</v>
      </c>
      <c r="F852" s="3" t="s">
        <v>451</v>
      </c>
      <c r="G852" s="3" t="s">
        <v>45</v>
      </c>
      <c r="H852" s="2" t="s">
        <v>36</v>
      </c>
      <c r="I852" s="2" t="s">
        <v>2262</v>
      </c>
      <c r="J852" s="3" t="str">
        <f>HYPERLINK("https://www.boe.es/gazeta/dias/1818/02/14/pdfs/GMD-1818-20.pdf#page=8","Abrir facsímil")</f>
        <v>Abrir facsímil</v>
      </c>
      <c r="K852" s="3" t="s">
        <v>38</v>
      </c>
    </row>
    <row r="853" spans="1:11" ht="42" customHeight="1">
      <c r="A853" s="2" t="s">
        <v>2257</v>
      </c>
      <c r="B853" s="2" t="s">
        <v>2257</v>
      </c>
      <c r="C853" s="2" t="s">
        <v>26</v>
      </c>
      <c r="D853" s="2" t="s">
        <v>27</v>
      </c>
      <c r="E853" s="5">
        <v>-29887</v>
      </c>
      <c r="F853" s="3" t="s">
        <v>613</v>
      </c>
      <c r="G853" s="3" t="s">
        <v>85</v>
      </c>
      <c r="H853" s="2" t="s">
        <v>36</v>
      </c>
      <c r="I853" s="2" t="s">
        <v>2263</v>
      </c>
      <c r="J853" s="3" t="str">
        <f>HYPERLINK("https://www.boe.es/gazeta/dias/1818/03/03/pdfs/GMD-1818-27.pdf#page=3","Abrir facsímil")</f>
        <v>Abrir facsímil</v>
      </c>
      <c r="K853" s="3" t="s">
        <v>38</v>
      </c>
    </row>
    <row r="854" spans="1:11" ht="42" customHeight="1">
      <c r="A854" s="2" t="s">
        <v>2257</v>
      </c>
      <c r="B854" s="2" t="s">
        <v>2257</v>
      </c>
      <c r="C854" s="2" t="s">
        <v>68</v>
      </c>
      <c r="D854" s="2" t="s">
        <v>69</v>
      </c>
      <c r="E854" s="5">
        <v>-29880</v>
      </c>
      <c r="F854" s="3" t="s">
        <v>359</v>
      </c>
      <c r="G854" s="3" t="s">
        <v>20</v>
      </c>
      <c r="H854" s="2" t="s">
        <v>36</v>
      </c>
      <c r="I854" s="2" t="s">
        <v>2264</v>
      </c>
      <c r="J854" s="3" t="str">
        <f>HYPERLINK("https://www.boe.es/gazeta/dias/1818/03/10/pdfs/GMD-1818-30.pdf#page=7","Abrir facsímil")</f>
        <v>Abrir facsímil</v>
      </c>
      <c r="K854" s="3" t="s">
        <v>38</v>
      </c>
    </row>
    <row r="855" spans="1:11" ht="42" customHeight="1">
      <c r="A855" s="2" t="s">
        <v>2257</v>
      </c>
      <c r="B855" s="2" t="s">
        <v>2257</v>
      </c>
      <c r="C855" s="2" t="s">
        <v>26</v>
      </c>
      <c r="D855" s="2" t="s">
        <v>27</v>
      </c>
      <c r="E855" s="5">
        <v>-29864</v>
      </c>
      <c r="F855" s="3" t="s">
        <v>196</v>
      </c>
      <c r="G855" s="3" t="s">
        <v>45</v>
      </c>
      <c r="H855" s="2" t="s">
        <v>36</v>
      </c>
      <c r="I855" s="2" t="s">
        <v>2265</v>
      </c>
      <c r="J855" s="3" t="str">
        <f>HYPERLINK("https://www.boe.es/gazeta/dias/1818/03/26/pdfs/GMD-1818-37.pdf#page=8","Abrir facsímil")</f>
        <v>Abrir facsímil</v>
      </c>
      <c r="K855" s="3" t="s">
        <v>38</v>
      </c>
    </row>
    <row r="856" spans="1:11" ht="42" customHeight="1">
      <c r="A856" s="2" t="s">
        <v>2266</v>
      </c>
      <c r="B856" s="2" t="s">
        <v>2266</v>
      </c>
      <c r="C856" s="2" t="s">
        <v>57</v>
      </c>
      <c r="D856" s="2" t="s">
        <v>18</v>
      </c>
      <c r="E856" s="5">
        <v>-29852</v>
      </c>
      <c r="F856" s="3" t="s">
        <v>327</v>
      </c>
      <c r="G856" s="3" t="s">
        <v>59</v>
      </c>
      <c r="H856" s="2" t="s">
        <v>36</v>
      </c>
      <c r="I856" s="2" t="s">
        <v>2267</v>
      </c>
      <c r="J856" s="3" t="str">
        <f>HYPERLINK("https://www.boe.es/gazeta/dias/1818/04/07/pdfs/GMD-1818-42.pdf#page=6","Abrir facsímil")</f>
        <v>Abrir facsímil</v>
      </c>
      <c r="K856" s="3" t="s">
        <v>38</v>
      </c>
    </row>
    <row r="857" spans="1:11" ht="42" customHeight="1">
      <c r="A857" s="2" t="s">
        <v>2257</v>
      </c>
      <c r="B857" s="2" t="s">
        <v>2257</v>
      </c>
      <c r="C857" s="2" t="s">
        <v>26</v>
      </c>
      <c r="D857" s="2" t="s">
        <v>27</v>
      </c>
      <c r="E857" s="5">
        <v>-29848</v>
      </c>
      <c r="F857" s="3" t="s">
        <v>571</v>
      </c>
      <c r="G857" s="3" t="s">
        <v>59</v>
      </c>
      <c r="H857" s="2" t="s">
        <v>36</v>
      </c>
      <c r="I857" s="2" t="s">
        <v>2268</v>
      </c>
      <c r="J857" s="3" t="str">
        <f>HYPERLINK("https://www.boe.es/gazeta/dias/1818/04/11/pdfs/GMD-1818-44.pdf#page=6","Abrir facsímil")</f>
        <v>Abrir facsímil</v>
      </c>
      <c r="K857" s="3" t="s">
        <v>38</v>
      </c>
    </row>
    <row r="858" spans="1:11" ht="42" customHeight="1">
      <c r="A858" s="2" t="s">
        <v>2257</v>
      </c>
      <c r="B858" s="2" t="s">
        <v>2257</v>
      </c>
      <c r="C858" s="2" t="s">
        <v>57</v>
      </c>
      <c r="D858" s="2" t="s">
        <v>18</v>
      </c>
      <c r="E858" s="5">
        <v>-29836</v>
      </c>
      <c r="F858" s="3" t="s">
        <v>119</v>
      </c>
      <c r="G858" s="3" t="s">
        <v>29</v>
      </c>
      <c r="H858" s="2" t="s">
        <v>36</v>
      </c>
      <c r="I858" s="2" t="s">
        <v>2269</v>
      </c>
      <c r="J858" s="3" t="str">
        <f>HYPERLINK("https://www.boe.es/gazeta/dias/1818/04/23/pdfs/GMD-1818-49.pdf#page=4","Abrir facsímil")</f>
        <v>Abrir facsímil</v>
      </c>
      <c r="K858" s="3" t="s">
        <v>38</v>
      </c>
    </row>
    <row r="859" spans="1:11" ht="42" customHeight="1">
      <c r="A859" s="2" t="s">
        <v>2266</v>
      </c>
      <c r="B859" s="2" t="s">
        <v>2266</v>
      </c>
      <c r="C859" s="2" t="s">
        <v>26</v>
      </c>
      <c r="D859" s="2" t="s">
        <v>27</v>
      </c>
      <c r="E859" s="5">
        <v>-29831</v>
      </c>
      <c r="F859" s="3" t="s">
        <v>567</v>
      </c>
      <c r="G859" s="3" t="s">
        <v>45</v>
      </c>
      <c r="H859" s="2" t="s">
        <v>36</v>
      </c>
      <c r="I859" s="2" t="s">
        <v>2270</v>
      </c>
      <c r="J859" s="3" t="str">
        <f>HYPERLINK("https://www.boe.es/gazeta/dias/1818/04/28/pdfs/GMD-1818-51.pdf#page=8","Abrir facsímil")</f>
        <v>Abrir facsímil</v>
      </c>
      <c r="K859" s="3" t="s">
        <v>38</v>
      </c>
    </row>
    <row r="860" spans="1:11" ht="42" customHeight="1">
      <c r="A860" s="2" t="s">
        <v>2257</v>
      </c>
      <c r="B860" s="2" t="s">
        <v>2257</v>
      </c>
      <c r="C860" s="2" t="s">
        <v>26</v>
      </c>
      <c r="D860" s="2" t="s">
        <v>27</v>
      </c>
      <c r="E860" s="5">
        <v>-29829</v>
      </c>
      <c r="F860" s="3" t="s">
        <v>44</v>
      </c>
      <c r="G860" s="3" t="s">
        <v>2271</v>
      </c>
      <c r="H860" s="2" t="s">
        <v>36</v>
      </c>
      <c r="I860" s="2" t="s">
        <v>2272</v>
      </c>
      <c r="J860" s="3" t="str">
        <f>HYPERLINK("https://www.boe.es/gazeta/dias/1818/04/30/pdfs/GMD-1818-52.pdf#page=6","Abrir facsímil")</f>
        <v>Abrir facsímil</v>
      </c>
      <c r="K860" s="3" t="s">
        <v>38</v>
      </c>
    </row>
    <row r="861" spans="1:11" ht="42" customHeight="1">
      <c r="A861" s="2" t="s">
        <v>2257</v>
      </c>
      <c r="B861" s="2" t="s">
        <v>2257</v>
      </c>
      <c r="C861" s="2" t="s">
        <v>68</v>
      </c>
      <c r="D861" s="2" t="s">
        <v>69</v>
      </c>
      <c r="E861" s="5">
        <v>-29829</v>
      </c>
      <c r="F861" s="3" t="s">
        <v>44</v>
      </c>
      <c r="G861" s="3" t="s">
        <v>85</v>
      </c>
      <c r="H861" s="2" t="s">
        <v>36</v>
      </c>
      <c r="I861" s="2" t="s">
        <v>2273</v>
      </c>
      <c r="J861" s="3" t="str">
        <f>HYPERLINK("https://www.boe.es/gazeta/dias/1818/04/30/pdfs/GMD-1818-52.pdf#page=3","Abrir facsímil")</f>
        <v>Abrir facsímil</v>
      </c>
      <c r="K861" s="3" t="s">
        <v>38</v>
      </c>
    </row>
    <row r="862" spans="1:11" ht="42" customHeight="1">
      <c r="A862" s="2" t="s">
        <v>2266</v>
      </c>
      <c r="B862" s="2" t="s">
        <v>2266</v>
      </c>
      <c r="C862" s="2" t="s">
        <v>17</v>
      </c>
      <c r="D862" s="2" t="s">
        <v>18</v>
      </c>
      <c r="E862" s="5">
        <v>-29829</v>
      </c>
      <c r="F862" s="3" t="s">
        <v>44</v>
      </c>
      <c r="G862" s="3" t="s">
        <v>106</v>
      </c>
      <c r="H862" s="2" t="s">
        <v>36</v>
      </c>
      <c r="I862" s="2" t="s">
        <v>2274</v>
      </c>
      <c r="J862" s="3" t="str">
        <f>HYPERLINK("https://www.boe.es/gazeta/dias/1818/04/30/pdfs/GMD-1818-52.pdf#page=5","Abrir facsímil")</f>
        <v>Abrir facsímil</v>
      </c>
      <c r="K862" s="3" t="s">
        <v>38</v>
      </c>
    </row>
    <row r="863" spans="1:11" ht="42" customHeight="1">
      <c r="A863" s="2" t="s">
        <v>2257</v>
      </c>
      <c r="B863" s="2" t="s">
        <v>2257</v>
      </c>
      <c r="C863" s="2" t="s">
        <v>17</v>
      </c>
      <c r="D863" s="2" t="s">
        <v>18</v>
      </c>
      <c r="E863" s="5">
        <v>-29813</v>
      </c>
      <c r="F863" s="3" t="s">
        <v>839</v>
      </c>
      <c r="G863" s="3" t="s">
        <v>120</v>
      </c>
      <c r="H863" s="2" t="s">
        <v>36</v>
      </c>
      <c r="I863" s="2" t="s">
        <v>2275</v>
      </c>
      <c r="J863" s="3" t="str">
        <f>HYPERLINK("https://www.boe.es/gazeta/dias/1818/05/16/pdfs/GMD-1818-59.pdf#page=2","Abrir facsímil")</f>
        <v>Abrir facsímil</v>
      </c>
      <c r="K863" s="3" t="s">
        <v>38</v>
      </c>
    </row>
    <row r="864" spans="1:11" ht="42" customHeight="1">
      <c r="A864" s="2" t="s">
        <v>2257</v>
      </c>
      <c r="B864" s="2" t="s">
        <v>2257</v>
      </c>
      <c r="C864" s="2" t="s">
        <v>97</v>
      </c>
      <c r="D864" s="2" t="s">
        <v>18</v>
      </c>
      <c r="E864" s="5">
        <v>-29813</v>
      </c>
      <c r="F864" s="3" t="s">
        <v>839</v>
      </c>
      <c r="G864" s="3" t="s">
        <v>59</v>
      </c>
      <c r="H864" s="2" t="s">
        <v>36</v>
      </c>
      <c r="I864" s="2" t="s">
        <v>2276</v>
      </c>
      <c r="J864" s="3" t="str">
        <f>HYPERLINK("https://www.boe.es/gazeta/dias/1818/05/16/pdfs/GMD-1818-59.pdf#page=6","Abrir facsímil")</f>
        <v>Abrir facsímil</v>
      </c>
      <c r="K864" s="3" t="s">
        <v>38</v>
      </c>
    </row>
    <row r="865" spans="1:11" ht="42" customHeight="1">
      <c r="A865" s="2" t="s">
        <v>2257</v>
      </c>
      <c r="B865" s="2" t="s">
        <v>2257</v>
      </c>
      <c r="C865" s="2" t="s">
        <v>26</v>
      </c>
      <c r="D865" s="2" t="s">
        <v>27</v>
      </c>
      <c r="E865" s="5">
        <v>-29810</v>
      </c>
      <c r="F865" s="3" t="s">
        <v>222</v>
      </c>
      <c r="G865" s="3" t="s">
        <v>45</v>
      </c>
      <c r="H865" s="2" t="s">
        <v>36</v>
      </c>
      <c r="I865" s="2" t="s">
        <v>2277</v>
      </c>
      <c r="J865" s="3" t="str">
        <f>HYPERLINK("https://www.boe.es/gazeta/dias/1818/05/19/pdfs/GMD-1818-60.pdf#page=8","Abrir facsímil")</f>
        <v>Abrir facsímil</v>
      </c>
      <c r="K865" s="3" t="s">
        <v>38</v>
      </c>
    </row>
    <row r="866" spans="1:11" ht="42" customHeight="1">
      <c r="A866" s="2" t="s">
        <v>2257</v>
      </c>
      <c r="B866" s="2" t="s">
        <v>2257</v>
      </c>
      <c r="C866" s="2" t="s">
        <v>68</v>
      </c>
      <c r="D866" s="2" t="s">
        <v>69</v>
      </c>
      <c r="E866" s="5">
        <v>-29803</v>
      </c>
      <c r="F866" s="3" t="s">
        <v>1393</v>
      </c>
      <c r="G866" s="3" t="s">
        <v>20</v>
      </c>
      <c r="H866" s="2" t="s">
        <v>36</v>
      </c>
      <c r="I866" s="2" t="s">
        <v>2278</v>
      </c>
      <c r="J866" s="3" t="str">
        <f>HYPERLINK("https://www.boe.es/gazeta/dias/1818/05/26/pdfs/GMD-1818-63.pdf#page=7","Abrir facsímil")</f>
        <v>Abrir facsímil</v>
      </c>
      <c r="K866" s="3" t="s">
        <v>38</v>
      </c>
    </row>
    <row r="867" spans="1:11" ht="42" customHeight="1">
      <c r="A867" s="2" t="s">
        <v>2257</v>
      </c>
      <c r="B867" s="2" t="s">
        <v>2257</v>
      </c>
      <c r="C867" s="2" t="s">
        <v>57</v>
      </c>
      <c r="D867" s="2" t="s">
        <v>18</v>
      </c>
      <c r="E867" s="5">
        <v>-29794</v>
      </c>
      <c r="F867" s="3" t="s">
        <v>127</v>
      </c>
      <c r="G867" s="3" t="s">
        <v>106</v>
      </c>
      <c r="H867" s="2" t="s">
        <v>36</v>
      </c>
      <c r="I867" s="2" t="s">
        <v>2279</v>
      </c>
      <c r="J867" s="3" t="str">
        <f>HYPERLINK("https://www.boe.es/gazeta/dias/1818/06/04/pdfs/GMD-1818-67.pdf#page=5","Abrir facsímil")</f>
        <v>Abrir facsímil</v>
      </c>
      <c r="K867" s="3" t="s">
        <v>38</v>
      </c>
    </row>
    <row r="868" spans="1:11" ht="42" customHeight="1">
      <c r="A868" s="2" t="s">
        <v>2257</v>
      </c>
      <c r="B868" s="2" t="s">
        <v>2257</v>
      </c>
      <c r="C868" s="2" t="s">
        <v>17</v>
      </c>
      <c r="D868" s="2" t="s">
        <v>18</v>
      </c>
      <c r="E868" s="5">
        <v>-29752</v>
      </c>
      <c r="F868" s="3" t="s">
        <v>165</v>
      </c>
      <c r="G868" s="3" t="s">
        <v>59</v>
      </c>
      <c r="H868" s="2" t="s">
        <v>36</v>
      </c>
      <c r="I868" s="2" t="s">
        <v>2280</v>
      </c>
      <c r="J868" s="3" t="str">
        <f>HYPERLINK("https://www.boe.es/gazeta/dias/1818/07/16/pdfs/GMD-1818-85.pdf#page=6","Abrir facsímil")</f>
        <v>Abrir facsímil</v>
      </c>
      <c r="K868" s="3" t="s">
        <v>38</v>
      </c>
    </row>
    <row r="869" spans="1:11" ht="42" customHeight="1">
      <c r="A869" s="2" t="s">
        <v>2257</v>
      </c>
      <c r="B869" s="2" t="s">
        <v>2257</v>
      </c>
      <c r="C869" s="2" t="s">
        <v>68</v>
      </c>
      <c r="D869" s="2" t="s">
        <v>69</v>
      </c>
      <c r="E869" s="5">
        <v>-29740</v>
      </c>
      <c r="F869" s="3" t="s">
        <v>152</v>
      </c>
      <c r="G869" s="3" t="s">
        <v>85</v>
      </c>
      <c r="H869" s="2" t="s">
        <v>36</v>
      </c>
      <c r="I869" s="2" t="s">
        <v>2281</v>
      </c>
      <c r="J869" s="3" t="str">
        <f>HYPERLINK("https://www.boe.es/gazeta/dias/1818/07/28/pdfs/GMD-1818-90.pdf#page=3","Abrir facsímil")</f>
        <v>Abrir facsímil</v>
      </c>
      <c r="K869" s="3" t="s">
        <v>38</v>
      </c>
    </row>
    <row r="870" spans="1:11" ht="42" customHeight="1">
      <c r="A870" s="2" t="s">
        <v>2257</v>
      </c>
      <c r="B870" s="2" t="s">
        <v>2257</v>
      </c>
      <c r="C870" s="2" t="s">
        <v>97</v>
      </c>
      <c r="D870" s="2" t="s">
        <v>18</v>
      </c>
      <c r="E870" s="5">
        <v>-29740</v>
      </c>
      <c r="F870" s="3" t="s">
        <v>152</v>
      </c>
      <c r="G870" s="3" t="s">
        <v>29</v>
      </c>
      <c r="H870" s="2" t="s">
        <v>36</v>
      </c>
      <c r="I870" s="2" t="s">
        <v>2282</v>
      </c>
      <c r="J870" s="3" t="str">
        <f>HYPERLINK("https://www.boe.es/gazeta/dias/1818/07/28/pdfs/GMD-1818-90.pdf#page=4","Abrir facsímil")</f>
        <v>Abrir facsímil</v>
      </c>
      <c r="K870" s="3" t="s">
        <v>38</v>
      </c>
    </row>
    <row r="871" spans="1:11" ht="42" customHeight="1">
      <c r="A871" s="2" t="s">
        <v>2257</v>
      </c>
      <c r="B871" s="2" t="s">
        <v>2257</v>
      </c>
      <c r="C871" s="2" t="s">
        <v>26</v>
      </c>
      <c r="D871" s="2" t="s">
        <v>27</v>
      </c>
      <c r="E871" s="5">
        <v>-29731</v>
      </c>
      <c r="F871" s="3" t="s">
        <v>299</v>
      </c>
      <c r="G871" s="3" t="s">
        <v>45</v>
      </c>
      <c r="H871" s="2" t="s">
        <v>36</v>
      </c>
      <c r="I871" s="2" t="s">
        <v>2283</v>
      </c>
      <c r="J871" s="3" t="str">
        <f>HYPERLINK("https://www.boe.es/gazeta/dias/1818/08/06/pdfs/GMD-1818-94.pdf#page=8","Abrir facsímil")</f>
        <v>Abrir facsímil</v>
      </c>
      <c r="K871" s="3" t="s">
        <v>38</v>
      </c>
    </row>
    <row r="872" spans="1:11" ht="42" customHeight="1">
      <c r="A872" s="2" t="s">
        <v>2266</v>
      </c>
      <c r="B872" s="2" t="s">
        <v>2266</v>
      </c>
      <c r="C872" s="2" t="s">
        <v>26</v>
      </c>
      <c r="D872" s="2" t="s">
        <v>27</v>
      </c>
      <c r="E872" s="5">
        <v>-29701</v>
      </c>
      <c r="F872" s="3" t="s">
        <v>596</v>
      </c>
      <c r="G872" s="3" t="s">
        <v>59</v>
      </c>
      <c r="H872" s="2" t="s">
        <v>36</v>
      </c>
      <c r="I872" s="2" t="s">
        <v>2284</v>
      </c>
      <c r="J872" s="3" t="str">
        <f>HYPERLINK("https://www.boe.es/gazeta/dias/1818/09/05/pdfs/GMD-1818-107.pdf#page=6","Abrir facsímil")</f>
        <v>Abrir facsímil</v>
      </c>
      <c r="K872" s="3" t="s">
        <v>38</v>
      </c>
    </row>
    <row r="873" spans="1:11" ht="42" customHeight="1">
      <c r="A873" s="2" t="s">
        <v>2257</v>
      </c>
      <c r="B873" s="2" t="s">
        <v>2257</v>
      </c>
      <c r="C873" s="2" t="s">
        <v>57</v>
      </c>
      <c r="D873" s="2" t="s">
        <v>18</v>
      </c>
      <c r="E873" s="5">
        <v>-29656</v>
      </c>
      <c r="F873" s="3" t="s">
        <v>601</v>
      </c>
      <c r="G873" s="3" t="s">
        <v>20</v>
      </c>
      <c r="H873" s="2" t="s">
        <v>36</v>
      </c>
      <c r="I873" s="2" t="s">
        <v>2285</v>
      </c>
      <c r="J873" s="3" t="str">
        <f>HYPERLINK("https://www.boe.es/gazeta/dias/1818/10/20/pdfs/GMD-1818-127.pdf#page=7","Abrir facsímil")</f>
        <v>Abrir facsímil</v>
      </c>
      <c r="K873" s="3" t="s">
        <v>38</v>
      </c>
    </row>
    <row r="874" spans="1:11" ht="42" customHeight="1">
      <c r="A874" s="2" t="s">
        <v>2266</v>
      </c>
      <c r="B874" s="2" t="s">
        <v>2266</v>
      </c>
      <c r="C874" s="2" t="s">
        <v>68</v>
      </c>
      <c r="D874" s="2" t="s">
        <v>69</v>
      </c>
      <c r="E874" s="5">
        <v>-29649</v>
      </c>
      <c r="F874" s="3" t="s">
        <v>585</v>
      </c>
      <c r="G874" s="3" t="s">
        <v>45</v>
      </c>
      <c r="H874" s="2" t="s">
        <v>36</v>
      </c>
      <c r="I874" s="2" t="s">
        <v>2286</v>
      </c>
      <c r="J874" s="3" t="str">
        <f>HYPERLINK("https://www.boe.es/gazeta/dias/1818/10/27/pdfs/GMD-1818-130.pdf#page=8","Abrir facsímil")</f>
        <v>Abrir facsímil</v>
      </c>
      <c r="K874" s="3" t="s">
        <v>38</v>
      </c>
    </row>
    <row r="875" spans="1:11" ht="42" customHeight="1">
      <c r="A875" s="2" t="s">
        <v>2257</v>
      </c>
      <c r="B875" s="2" t="s">
        <v>2257</v>
      </c>
      <c r="C875" s="2" t="s">
        <v>26</v>
      </c>
      <c r="D875" s="2" t="s">
        <v>27</v>
      </c>
      <c r="E875" s="5">
        <v>-29640</v>
      </c>
      <c r="F875" s="3" t="s">
        <v>75</v>
      </c>
      <c r="G875" s="3" t="s">
        <v>20</v>
      </c>
      <c r="H875" s="2" t="s">
        <v>36</v>
      </c>
      <c r="I875" s="2" t="s">
        <v>2287</v>
      </c>
      <c r="J875" s="3" t="str">
        <f>HYPERLINK("https://www.boe.es/gazeta/dias/1818/11/05/pdfs/GMD-1818-134.pdf#page=7","Abrir facsímil")</f>
        <v>Abrir facsímil</v>
      </c>
      <c r="K875" s="3" t="s">
        <v>38</v>
      </c>
    </row>
    <row r="876" spans="1:11" ht="42" customHeight="1">
      <c r="A876" s="2" t="s">
        <v>2257</v>
      </c>
      <c r="B876" s="2" t="s">
        <v>2257</v>
      </c>
      <c r="C876" s="2" t="s">
        <v>17</v>
      </c>
      <c r="D876" s="2" t="s">
        <v>18</v>
      </c>
      <c r="E876" s="5">
        <v>-29621</v>
      </c>
      <c r="F876" s="3" t="s">
        <v>1561</v>
      </c>
      <c r="G876" s="3" t="s">
        <v>59</v>
      </c>
      <c r="H876" s="2" t="s">
        <v>36</v>
      </c>
      <c r="I876" s="2" t="s">
        <v>2288</v>
      </c>
      <c r="J876" s="3" t="str">
        <f>HYPERLINK("https://www.boe.es/gazeta/dias/1818/11/24/pdfs/GMD-1818-142.pdf#page=6","Abrir facsímil")</f>
        <v>Abrir facsímil</v>
      </c>
      <c r="K876" s="3" t="s">
        <v>38</v>
      </c>
    </row>
    <row r="877" spans="1:11" ht="42" customHeight="1">
      <c r="A877" s="2" t="s">
        <v>2257</v>
      </c>
      <c r="B877" s="2" t="s">
        <v>2257</v>
      </c>
      <c r="C877" s="2" t="s">
        <v>97</v>
      </c>
      <c r="D877" s="2" t="s">
        <v>18</v>
      </c>
      <c r="E877" s="5">
        <v>-29607</v>
      </c>
      <c r="F877" s="3" t="s">
        <v>704</v>
      </c>
      <c r="G877" s="3" t="s">
        <v>2289</v>
      </c>
      <c r="H877" s="2" t="s">
        <v>36</v>
      </c>
      <c r="I877" s="2" t="s">
        <v>2290</v>
      </c>
      <c r="J877" s="3" t="str">
        <f>HYPERLINK("https://www.boe.es/gazeta/dias/1818/12/08/pdfs/GMD-1818-148.pdf#page=8","Abrir facsímil")</f>
        <v>Abrir facsímil</v>
      </c>
      <c r="K877" s="3" t="s">
        <v>38</v>
      </c>
    </row>
    <row r="878" spans="1:11" ht="42" customHeight="1">
      <c r="A878" s="2" t="s">
        <v>2291</v>
      </c>
      <c r="B878" s="2" t="s">
        <v>2292</v>
      </c>
      <c r="C878" s="2" t="s">
        <v>17</v>
      </c>
      <c r="D878" s="2" t="s">
        <v>18</v>
      </c>
      <c r="E878" s="5">
        <v>-29670</v>
      </c>
      <c r="F878" s="3" t="s">
        <v>48</v>
      </c>
      <c r="G878" s="3" t="s">
        <v>49</v>
      </c>
      <c r="H878" s="2" t="s">
        <v>36</v>
      </c>
      <c r="I878" s="2" t="s">
        <v>2293</v>
      </c>
      <c r="J878" s="3" t="str">
        <f>HYPERLINK("https://www.boe.es/gazeta/dias/1818/10/06/pdfs/GMD-1818-120.pdf#page=1","Abrir facsímil")</f>
        <v>Abrir facsímil</v>
      </c>
      <c r="K878" s="3" t="s">
        <v>38</v>
      </c>
    </row>
    <row r="879" spans="1:11" ht="42" customHeight="1">
      <c r="A879" s="2" t="s">
        <v>2291</v>
      </c>
      <c r="B879" s="2" t="s">
        <v>2292</v>
      </c>
      <c r="C879" s="2" t="s">
        <v>215</v>
      </c>
      <c r="D879" s="2" t="s">
        <v>18</v>
      </c>
      <c r="E879" s="5">
        <v>-29670</v>
      </c>
      <c r="F879" s="3" t="s">
        <v>48</v>
      </c>
      <c r="G879" s="3" t="s">
        <v>120</v>
      </c>
      <c r="H879" s="2" t="s">
        <v>36</v>
      </c>
      <c r="I879" s="2" t="s">
        <v>2294</v>
      </c>
      <c r="J879" s="3" t="str">
        <f>HYPERLINK("https://www.boe.es/gazeta/dias/1818/10/06/pdfs/GMD-1818-120.pdf#page=2","Abrir facsímil")</f>
        <v>Abrir facsímil</v>
      </c>
      <c r="K879" s="3" t="s">
        <v>38</v>
      </c>
    </row>
    <row r="880" spans="1:11" ht="42" customHeight="1">
      <c r="A880" s="2" t="s">
        <v>2291</v>
      </c>
      <c r="B880" s="2" t="s">
        <v>2292</v>
      </c>
      <c r="C880" s="2" t="s">
        <v>63</v>
      </c>
      <c r="D880" s="2" t="s">
        <v>668</v>
      </c>
      <c r="E880" s="5">
        <v>-29661</v>
      </c>
      <c r="F880" s="3" t="s">
        <v>669</v>
      </c>
      <c r="G880" s="3" t="s">
        <v>49</v>
      </c>
      <c r="H880" s="2" t="s">
        <v>36</v>
      </c>
      <c r="I880" s="2" t="s">
        <v>2295</v>
      </c>
      <c r="J880" s="3" t="str">
        <f>HYPERLINK("https://www.boe.es/gazeta/dias/1818/10/15/pdfs/GMD-1818-125E.pdf#page=1","Abrir facsímil")</f>
        <v>Abrir facsímil</v>
      </c>
      <c r="K880" s="3" t="s">
        <v>38</v>
      </c>
    </row>
    <row r="881" spans="1:11" ht="42" customHeight="1">
      <c r="A881" s="2" t="s">
        <v>2291</v>
      </c>
      <c r="B881" s="2" t="s">
        <v>2292</v>
      </c>
      <c r="C881" s="2" t="s">
        <v>17</v>
      </c>
      <c r="D881" s="2" t="s">
        <v>668</v>
      </c>
      <c r="E881" s="5">
        <v>-29661</v>
      </c>
      <c r="F881" s="3" t="s">
        <v>669</v>
      </c>
      <c r="G881" s="3" t="s">
        <v>85</v>
      </c>
      <c r="H881" s="2" t="s">
        <v>36</v>
      </c>
      <c r="I881" s="2" t="s">
        <v>2296</v>
      </c>
      <c r="J881" s="3" t="str">
        <f>HYPERLINK("https://www.boe.es/gazeta/dias/1818/10/15/pdfs/GMD-1818-125E.pdf#page=3","Abrir facsímil")</f>
        <v>Abrir facsímil</v>
      </c>
      <c r="K881" s="3" t="s">
        <v>38</v>
      </c>
    </row>
    <row r="882" spans="1:11" ht="42" customHeight="1">
      <c r="A882" s="2" t="s">
        <v>2297</v>
      </c>
      <c r="B882" s="2" t="s">
        <v>2298</v>
      </c>
      <c r="C882" s="2" t="s">
        <v>68</v>
      </c>
      <c r="D882" s="2" t="s">
        <v>69</v>
      </c>
      <c r="E882" s="5">
        <v>-29822</v>
      </c>
      <c r="F882" s="3" t="s">
        <v>373</v>
      </c>
      <c r="G882" s="3" t="s">
        <v>20</v>
      </c>
      <c r="H882" s="2" t="s">
        <v>36</v>
      </c>
      <c r="I882" s="2" t="s">
        <v>2299</v>
      </c>
      <c r="J882" s="3" t="str">
        <f>HYPERLINK("https://www.boe.es/gazeta/dias/1818/05/07/pdfs/GMD-1818-55.pdf#page=7","Abrir facsímil")</f>
        <v>Abrir facsímil</v>
      </c>
      <c r="K882" s="3" t="s">
        <v>38</v>
      </c>
    </row>
    <row r="883" spans="1:11" ht="42" customHeight="1">
      <c r="A883" s="2" t="s">
        <v>2300</v>
      </c>
      <c r="B883" s="2" t="s">
        <v>2301</v>
      </c>
      <c r="C883" s="2" t="s">
        <v>26</v>
      </c>
      <c r="D883" s="2" t="s">
        <v>27</v>
      </c>
      <c r="E883" s="5">
        <v>-29754</v>
      </c>
      <c r="F883" s="3" t="s">
        <v>466</v>
      </c>
      <c r="G883" s="3" t="s">
        <v>59</v>
      </c>
      <c r="H883" s="2" t="s">
        <v>36</v>
      </c>
      <c r="I883" s="2" t="s">
        <v>2302</v>
      </c>
      <c r="J883" s="3" t="str">
        <f>HYPERLINK("https://www.boe.es/gazeta/dias/1818/07/14/pdfs/GMD-1818-84.pdf#page=6","Abrir facsímil")</f>
        <v>Abrir facsímil</v>
      </c>
      <c r="K883" s="3" t="s">
        <v>38</v>
      </c>
    </row>
    <row r="884" spans="1:11" ht="42" customHeight="1">
      <c r="A884" s="2" t="s">
        <v>2303</v>
      </c>
      <c r="B884" s="2" t="s">
        <v>2304</v>
      </c>
      <c r="C884" s="2" t="s">
        <v>68</v>
      </c>
      <c r="D884" s="2" t="s">
        <v>69</v>
      </c>
      <c r="E884" s="5">
        <v>-29624</v>
      </c>
      <c r="F884" s="3" t="s">
        <v>131</v>
      </c>
      <c r="G884" s="3" t="s">
        <v>20</v>
      </c>
      <c r="H884" s="2" t="s">
        <v>21</v>
      </c>
      <c r="I884" s="2" t="s">
        <v>2305</v>
      </c>
      <c r="J884" s="3" t="str">
        <f>HYPERLINK("https://www.boe.es/gazeta/dias/1818/11/21/pdfs/GMD-1818-141.pdf#page=7","Abrir facsímil")</f>
        <v>Abrir facsímil</v>
      </c>
      <c r="K884" s="3" t="s">
        <v>23</v>
      </c>
    </row>
    <row r="885" spans="1:11" ht="42" customHeight="1">
      <c r="A885" s="2" t="s">
        <v>2306</v>
      </c>
      <c r="B885" s="2" t="s">
        <v>2307</v>
      </c>
      <c r="C885" s="2" t="s">
        <v>26</v>
      </c>
      <c r="D885" s="2" t="s">
        <v>27</v>
      </c>
      <c r="E885" s="5">
        <v>-29885</v>
      </c>
      <c r="F885" s="3" t="s">
        <v>2308</v>
      </c>
      <c r="G885" s="3" t="s">
        <v>2309</v>
      </c>
      <c r="H885" s="2" t="s">
        <v>36</v>
      </c>
      <c r="I885" s="2" t="s">
        <v>2310</v>
      </c>
      <c r="J885" s="3" t="str">
        <f>HYPERLINK("https://www.boe.es/gazeta/dias/1818/03/05/pdfs/GMD-1818-28.pdf#page=7","Abrir facsímil")</f>
        <v>Abrir facsímil</v>
      </c>
      <c r="K885" s="3" t="s">
        <v>38</v>
      </c>
    </row>
    <row r="886" spans="1:11" ht="42" customHeight="1">
      <c r="A886" s="2" t="s">
        <v>2311</v>
      </c>
      <c r="B886" s="2" t="s">
        <v>2312</v>
      </c>
      <c r="C886" s="2" t="s">
        <v>17</v>
      </c>
      <c r="D886" s="2" t="s">
        <v>18</v>
      </c>
      <c r="E886" s="5">
        <v>-29745</v>
      </c>
      <c r="F886" s="3" t="s">
        <v>409</v>
      </c>
      <c r="G886" s="3" t="s">
        <v>45</v>
      </c>
      <c r="H886" s="2" t="s">
        <v>36</v>
      </c>
      <c r="I886" s="2" t="s">
        <v>2313</v>
      </c>
      <c r="J886" s="3" t="str">
        <f>HYPERLINK("https://www.boe.es/gazeta/dias/1818/07/23/pdfs/GMD-1818-88.pdf#page=8","Abrir facsímil")</f>
        <v>Abrir facsímil</v>
      </c>
      <c r="K886" s="3" t="s">
        <v>38</v>
      </c>
    </row>
    <row r="887" spans="1:11" ht="42" customHeight="1">
      <c r="A887" s="2" t="s">
        <v>2311</v>
      </c>
      <c r="B887" s="2" t="s">
        <v>2312</v>
      </c>
      <c r="C887" s="2" t="s">
        <v>17</v>
      </c>
      <c r="D887" s="2" t="s">
        <v>18</v>
      </c>
      <c r="E887" s="5">
        <v>-29675</v>
      </c>
      <c r="F887" s="3" t="s">
        <v>2314</v>
      </c>
      <c r="G887" s="3" t="s">
        <v>45</v>
      </c>
      <c r="H887" s="2" t="s">
        <v>36</v>
      </c>
      <c r="I887" s="2" t="s">
        <v>2315</v>
      </c>
      <c r="J887" s="3" t="str">
        <f>HYPERLINK("https://www.boe.es/gazeta/dias/1818/10/01/pdfs/GMD-1818-118.pdf#page=8","Abrir facsímil")</f>
        <v>Abrir facsímil</v>
      </c>
      <c r="K887" s="3" t="s">
        <v>38</v>
      </c>
    </row>
    <row r="888" spans="1:11" ht="42" customHeight="1">
      <c r="A888" s="2" t="s">
        <v>2316</v>
      </c>
      <c r="B888" s="2" t="s">
        <v>2317</v>
      </c>
      <c r="C888" s="2" t="s">
        <v>17</v>
      </c>
      <c r="D888" s="2" t="s">
        <v>18</v>
      </c>
      <c r="E888" s="5">
        <v>-29666</v>
      </c>
      <c r="F888" s="3" t="s">
        <v>258</v>
      </c>
      <c r="G888" s="3" t="s">
        <v>106</v>
      </c>
      <c r="H888" s="2" t="s">
        <v>36</v>
      </c>
      <c r="I888" s="2" t="s">
        <v>2318</v>
      </c>
      <c r="J888" s="3" t="str">
        <f>HYPERLINK("https://www.boe.es/gazeta/dias/1818/10/10/pdfs/GMD-1818-122.pdf#page=5","Abrir facsímil")</f>
        <v>Abrir facsímil</v>
      </c>
      <c r="K888" s="3" t="s">
        <v>38</v>
      </c>
    </row>
    <row r="889" spans="1:11" ht="42" customHeight="1">
      <c r="A889" s="2" t="s">
        <v>2316</v>
      </c>
      <c r="B889" s="2" t="s">
        <v>2317</v>
      </c>
      <c r="C889" s="2" t="s">
        <v>26</v>
      </c>
      <c r="D889" s="2" t="s">
        <v>27</v>
      </c>
      <c r="E889" s="5">
        <v>-29666</v>
      </c>
      <c r="F889" s="3" t="s">
        <v>258</v>
      </c>
      <c r="G889" s="3" t="s">
        <v>59</v>
      </c>
      <c r="H889" s="2" t="s">
        <v>36</v>
      </c>
      <c r="I889" s="2" t="s">
        <v>2319</v>
      </c>
      <c r="J889" s="3" t="str">
        <f>HYPERLINK("https://www.boe.es/gazeta/dias/1818/10/10/pdfs/GMD-1818-122.pdf#page=6","Abrir facsímil")</f>
        <v>Abrir facsímil</v>
      </c>
      <c r="K889" s="3" t="s">
        <v>38</v>
      </c>
    </row>
    <row r="890" spans="1:11" ht="42" customHeight="1">
      <c r="A890" s="2" t="s">
        <v>2320</v>
      </c>
      <c r="B890" s="2" t="s">
        <v>2321</v>
      </c>
      <c r="C890" s="2" t="s">
        <v>63</v>
      </c>
      <c r="D890" s="2" t="s">
        <v>18</v>
      </c>
      <c r="E890" s="5">
        <v>-29925</v>
      </c>
      <c r="F890" s="3" t="s">
        <v>447</v>
      </c>
      <c r="G890" s="3" t="s">
        <v>45</v>
      </c>
      <c r="H890" s="2" t="s">
        <v>36</v>
      </c>
      <c r="I890" s="2" t="s">
        <v>2322</v>
      </c>
      <c r="J890" s="3" t="str">
        <f>HYPERLINK("https://www.boe.es/gazeta/dias/1818/01/24/pdfs/GMD-1818-11.pdf#page=8","Abrir facsímil")</f>
        <v>Abrir facsímil</v>
      </c>
      <c r="K890" s="3" t="s">
        <v>38</v>
      </c>
    </row>
    <row r="891" spans="1:11" ht="42" customHeight="1">
      <c r="A891" s="2" t="s">
        <v>2323</v>
      </c>
      <c r="B891" s="2" t="s">
        <v>2324</v>
      </c>
      <c r="C891" s="2" t="s">
        <v>63</v>
      </c>
      <c r="D891" s="2" t="s">
        <v>18</v>
      </c>
      <c r="E891" s="5">
        <v>-29729</v>
      </c>
      <c r="F891" s="3" t="s">
        <v>488</v>
      </c>
      <c r="G891" s="3" t="s">
        <v>20</v>
      </c>
      <c r="H891" s="2" t="s">
        <v>36</v>
      </c>
      <c r="I891" s="2" t="s">
        <v>2325</v>
      </c>
      <c r="J891" s="3" t="str">
        <f>HYPERLINK("https://www.boe.es/gazeta/dias/1818/08/08/pdfs/GMD-1818-95.pdf#page=7","Abrir facsímil")</f>
        <v>Abrir facsímil</v>
      </c>
      <c r="K891" s="3" t="s">
        <v>38</v>
      </c>
    </row>
    <row r="892" spans="1:11" ht="42" customHeight="1">
      <c r="A892" s="2" t="s">
        <v>2326</v>
      </c>
      <c r="B892" s="2" t="s">
        <v>2326</v>
      </c>
      <c r="C892" s="2" t="s">
        <v>26</v>
      </c>
      <c r="D892" s="2" t="s">
        <v>27</v>
      </c>
      <c r="E892" s="5">
        <v>-29801</v>
      </c>
      <c r="F892" s="3" t="s">
        <v>288</v>
      </c>
      <c r="G892" s="3" t="s">
        <v>85</v>
      </c>
      <c r="H892" s="2" t="s">
        <v>36</v>
      </c>
      <c r="I892" s="2" t="s">
        <v>2327</v>
      </c>
      <c r="J892" s="3" t="str">
        <f>HYPERLINK("https://www.boe.es/gazeta/dias/1818/05/28/pdfs/GMD-1818-64.pdf#page=3","Abrir facsímil")</f>
        <v>Abrir facsímil</v>
      </c>
      <c r="K892" s="3" t="s">
        <v>38</v>
      </c>
    </row>
    <row r="893" spans="1:11" ht="42" customHeight="1">
      <c r="A893" s="2" t="s">
        <v>2328</v>
      </c>
      <c r="B893" s="2" t="s">
        <v>2329</v>
      </c>
      <c r="C893" s="2" t="s">
        <v>26</v>
      </c>
      <c r="D893" s="2" t="s">
        <v>27</v>
      </c>
      <c r="E893" s="5">
        <v>-29897</v>
      </c>
      <c r="F893" s="3" t="s">
        <v>318</v>
      </c>
      <c r="G893" s="3" t="s">
        <v>106</v>
      </c>
      <c r="H893" s="2" t="s">
        <v>36</v>
      </c>
      <c r="I893" s="2" t="s">
        <v>2330</v>
      </c>
      <c r="J893" s="3" t="str">
        <f>HYPERLINK("https://www.boe.es/gazeta/dias/1818/02/21/pdfs/GMD-1818-23.pdf#page=5","Abrir facsímil")</f>
        <v>Abrir facsímil</v>
      </c>
      <c r="K893" s="3" t="s">
        <v>38</v>
      </c>
    </row>
    <row r="894" spans="1:11" ht="42" customHeight="1">
      <c r="A894" s="2" t="s">
        <v>2331</v>
      </c>
      <c r="B894" s="2" t="s">
        <v>2332</v>
      </c>
      <c r="C894" s="2" t="s">
        <v>17</v>
      </c>
      <c r="D894" s="2" t="s">
        <v>18</v>
      </c>
      <c r="E894" s="5">
        <v>-29829</v>
      </c>
      <c r="F894" s="3" t="s">
        <v>44</v>
      </c>
      <c r="G894" s="3" t="s">
        <v>45</v>
      </c>
      <c r="H894" s="2" t="s">
        <v>36</v>
      </c>
      <c r="I894" s="2" t="s">
        <v>2333</v>
      </c>
      <c r="J894" s="3" t="str">
        <f>HYPERLINK("https://www.boe.es/gazeta/dias/1818/04/30/pdfs/GMD-1818-52.pdf#page=8","Abrir facsímil")</f>
        <v>Abrir facsímil</v>
      </c>
      <c r="K894" s="3" t="s">
        <v>38</v>
      </c>
    </row>
    <row r="895" spans="1:11" ht="42" customHeight="1">
      <c r="A895" s="2" t="s">
        <v>2334</v>
      </c>
      <c r="B895" s="2" t="s">
        <v>2335</v>
      </c>
      <c r="C895" s="2" t="s">
        <v>97</v>
      </c>
      <c r="D895" s="2" t="s">
        <v>18</v>
      </c>
      <c r="E895" s="5">
        <v>-29829</v>
      </c>
      <c r="F895" s="3" t="s">
        <v>44</v>
      </c>
      <c r="G895" s="3" t="s">
        <v>45</v>
      </c>
      <c r="H895" s="2" t="s">
        <v>36</v>
      </c>
      <c r="I895" s="2" t="s">
        <v>2336</v>
      </c>
      <c r="J895" s="3" t="str">
        <f>HYPERLINK("https://www.boe.es/gazeta/dias/1818/04/30/pdfs/GMD-1818-52.pdf#page=8","Abrir facsímil")</f>
        <v>Abrir facsímil</v>
      </c>
      <c r="K895" s="3" t="s">
        <v>38</v>
      </c>
    </row>
    <row r="896" spans="1:11" ht="42" customHeight="1">
      <c r="A896" s="2" t="s">
        <v>2337</v>
      </c>
      <c r="B896" s="2" t="s">
        <v>2338</v>
      </c>
      <c r="C896" s="2" t="s">
        <v>63</v>
      </c>
      <c r="D896" s="2" t="s">
        <v>18</v>
      </c>
      <c r="E896" s="5">
        <v>-29829</v>
      </c>
      <c r="F896" s="3" t="s">
        <v>44</v>
      </c>
      <c r="G896" s="3" t="s">
        <v>20</v>
      </c>
      <c r="H896" s="2" t="s">
        <v>36</v>
      </c>
      <c r="I896" s="2" t="s">
        <v>2339</v>
      </c>
      <c r="J896" s="3" t="str">
        <f>HYPERLINK("https://www.boe.es/gazeta/dias/1818/04/30/pdfs/GMD-1818-52.pdf#page=7","Abrir facsímil")</f>
        <v>Abrir facsímil</v>
      </c>
      <c r="K896" s="3" t="s">
        <v>38</v>
      </c>
    </row>
    <row r="897" spans="1:11" ht="42" customHeight="1">
      <c r="A897" s="2" t="s">
        <v>2340</v>
      </c>
      <c r="B897" s="2" t="s">
        <v>2341</v>
      </c>
      <c r="C897" s="2" t="s">
        <v>26</v>
      </c>
      <c r="D897" s="2" t="s">
        <v>27</v>
      </c>
      <c r="E897" s="5">
        <v>-29598</v>
      </c>
      <c r="F897" s="3" t="s">
        <v>98</v>
      </c>
      <c r="G897" s="3" t="s">
        <v>106</v>
      </c>
      <c r="H897" s="2" t="s">
        <v>36</v>
      </c>
      <c r="I897" s="2" t="s">
        <v>2342</v>
      </c>
      <c r="J897" s="3" t="str">
        <f>HYPERLINK("https://www.boe.es/gazeta/dias/1818/12/17/pdfs/GMD-1818-152.pdf#page=5","Abrir facsímil")</f>
        <v>Abrir facsímil</v>
      </c>
      <c r="K897" s="3" t="s">
        <v>38</v>
      </c>
    </row>
    <row r="898" spans="1:11" ht="42" customHeight="1">
      <c r="A898" s="2" t="s">
        <v>2343</v>
      </c>
      <c r="B898" s="2" t="s">
        <v>2344</v>
      </c>
      <c r="C898" s="2" t="s">
        <v>57</v>
      </c>
      <c r="D898" s="2" t="s">
        <v>18</v>
      </c>
      <c r="E898" s="5">
        <v>-29666</v>
      </c>
      <c r="F898" s="3" t="s">
        <v>258</v>
      </c>
      <c r="G898" s="3" t="s">
        <v>20</v>
      </c>
      <c r="H898" s="2" t="s">
        <v>36</v>
      </c>
      <c r="I898" s="2" t="s">
        <v>2345</v>
      </c>
      <c r="J898" s="3" t="str">
        <f>HYPERLINK("https://www.boe.es/gazeta/dias/1818/10/10/pdfs/GMD-1818-122.pdf#page=7","Abrir facsímil")</f>
        <v>Abrir facsímil</v>
      </c>
      <c r="K898" s="3" t="s">
        <v>38</v>
      </c>
    </row>
    <row r="899" spans="1:11" ht="42" customHeight="1">
      <c r="A899" s="2" t="s">
        <v>2346</v>
      </c>
      <c r="B899" s="2" t="s">
        <v>2347</v>
      </c>
      <c r="C899" s="2" t="s">
        <v>17</v>
      </c>
      <c r="D899" s="2" t="s">
        <v>18</v>
      </c>
      <c r="E899" s="5">
        <v>-29906</v>
      </c>
      <c r="F899" s="3" t="s">
        <v>28</v>
      </c>
      <c r="G899" s="3" t="s">
        <v>59</v>
      </c>
      <c r="H899" s="2" t="s">
        <v>36</v>
      </c>
      <c r="I899" s="2" t="s">
        <v>2348</v>
      </c>
      <c r="J899" s="3" t="str">
        <f>HYPERLINK("https://www.boe.es/gazeta/dias/1818/02/12/pdfs/GMD-1818-19.pdf#page=6","Abrir facsímil")</f>
        <v>Abrir facsímil</v>
      </c>
      <c r="K899" s="3" t="s">
        <v>38</v>
      </c>
    </row>
    <row r="900" spans="1:11" ht="42" customHeight="1">
      <c r="A900" s="2" t="s">
        <v>2349</v>
      </c>
      <c r="B900" s="2" t="s">
        <v>2350</v>
      </c>
      <c r="C900" s="2" t="s">
        <v>68</v>
      </c>
      <c r="D900" s="2" t="s">
        <v>69</v>
      </c>
      <c r="E900" s="5">
        <v>-29736</v>
      </c>
      <c r="F900" s="3" t="s">
        <v>581</v>
      </c>
      <c r="G900" s="3" t="s">
        <v>45</v>
      </c>
      <c r="H900" s="2" t="s">
        <v>36</v>
      </c>
      <c r="I900" s="2" t="s">
        <v>2351</v>
      </c>
      <c r="J900" s="3" t="str">
        <f>HYPERLINK("https://www.boe.es/gazeta/dias/1818/08/01/pdfs/GMD-1818-92.pdf#page=8","Abrir facsímil")</f>
        <v>Abrir facsímil</v>
      </c>
      <c r="K900" s="3" t="s">
        <v>38</v>
      </c>
    </row>
    <row r="901" spans="1:11" ht="42" customHeight="1">
      <c r="A901" s="2" t="s">
        <v>2352</v>
      </c>
      <c r="B901" s="2" t="s">
        <v>2353</v>
      </c>
      <c r="C901" s="2" t="s">
        <v>26</v>
      </c>
      <c r="D901" s="2" t="s">
        <v>27</v>
      </c>
      <c r="E901" s="5">
        <v>-29703</v>
      </c>
      <c r="F901" s="3" t="s">
        <v>294</v>
      </c>
      <c r="G901" s="3" t="s">
        <v>295</v>
      </c>
      <c r="H901" s="2" t="s">
        <v>36</v>
      </c>
      <c r="I901" s="2" t="s">
        <v>2354</v>
      </c>
      <c r="J901" s="3" t="str">
        <f>HYPERLINK("https://www.boe.es/gazeta/dias/1818/09/03/pdfs/GMD-1818-106.pdf#page=5","Abrir facsímil")</f>
        <v>Abrir facsímil</v>
      </c>
      <c r="K901" s="3" t="s">
        <v>38</v>
      </c>
    </row>
    <row r="902" spans="1:11" ht="42" customHeight="1">
      <c r="A902" s="2" t="s">
        <v>2355</v>
      </c>
      <c r="B902" s="2" t="s">
        <v>2356</v>
      </c>
      <c r="C902" s="2" t="s">
        <v>26</v>
      </c>
      <c r="D902" s="2" t="s">
        <v>27</v>
      </c>
      <c r="E902" s="5">
        <v>-29626</v>
      </c>
      <c r="F902" s="3" t="s">
        <v>496</v>
      </c>
      <c r="G902" s="3" t="s">
        <v>59</v>
      </c>
      <c r="H902" s="2" t="s">
        <v>36</v>
      </c>
      <c r="I902" s="2" t="s">
        <v>2357</v>
      </c>
      <c r="J902" s="3" t="str">
        <f>HYPERLINK("https://www.boe.es/gazeta/dias/1818/11/19/pdfs/GMD-1818-140.pdf#page=6","Abrir facsímil")</f>
        <v>Abrir facsímil</v>
      </c>
      <c r="K902" s="3" t="s">
        <v>38</v>
      </c>
    </row>
    <row r="903" spans="1:11" ht="42" customHeight="1">
      <c r="A903" s="2" t="s">
        <v>2358</v>
      </c>
      <c r="B903" s="2" t="s">
        <v>2359</v>
      </c>
      <c r="C903" s="2" t="s">
        <v>26</v>
      </c>
      <c r="D903" s="2" t="s">
        <v>27</v>
      </c>
      <c r="E903" s="5">
        <v>-29761</v>
      </c>
      <c r="F903" s="3" t="s">
        <v>168</v>
      </c>
      <c r="G903" s="3" t="s">
        <v>20</v>
      </c>
      <c r="H903" s="2" t="s">
        <v>21</v>
      </c>
      <c r="I903" s="2" t="s">
        <v>2360</v>
      </c>
      <c r="J903" s="3" t="str">
        <f>HYPERLINK("https://www.boe.es/gazeta/dias/1818/07/07/pdfs/GMD-1818-81.pdf#page=7","Abrir facsímil")</f>
        <v>Abrir facsímil</v>
      </c>
      <c r="K903" s="3" t="s">
        <v>23</v>
      </c>
    </row>
    <row r="904" spans="1:11" ht="42" customHeight="1">
      <c r="A904" s="2" t="s">
        <v>2361</v>
      </c>
      <c r="B904" s="2" t="s">
        <v>2362</v>
      </c>
      <c r="C904" s="2" t="s">
        <v>97</v>
      </c>
      <c r="D904" s="2" t="s">
        <v>18</v>
      </c>
      <c r="E904" s="5">
        <v>-29666</v>
      </c>
      <c r="F904" s="3" t="s">
        <v>258</v>
      </c>
      <c r="G904" s="3" t="s">
        <v>259</v>
      </c>
      <c r="H904" s="2" t="s">
        <v>36</v>
      </c>
      <c r="I904" s="2" t="s">
        <v>2363</v>
      </c>
      <c r="J904" s="3" t="str">
        <f>HYPERLINK("https://www.boe.es/gazeta/dias/1818/10/10/pdfs/GMD-1818-122.pdf#page=8","Abrir facsímil")</f>
        <v>Abrir facsímil</v>
      </c>
      <c r="K904" s="3" t="s">
        <v>38</v>
      </c>
    </row>
    <row r="905" spans="1:11" ht="42" customHeight="1">
      <c r="A905" s="2" t="s">
        <v>2364</v>
      </c>
      <c r="B905" s="2" t="s">
        <v>2365</v>
      </c>
      <c r="C905" s="2" t="s">
        <v>97</v>
      </c>
      <c r="D905" s="2" t="s">
        <v>18</v>
      </c>
      <c r="E905" s="5">
        <v>-29785</v>
      </c>
      <c r="F905" s="3" t="s">
        <v>1031</v>
      </c>
      <c r="G905" s="3" t="s">
        <v>45</v>
      </c>
      <c r="H905" s="2" t="s">
        <v>36</v>
      </c>
      <c r="I905" s="2" t="s">
        <v>2366</v>
      </c>
      <c r="J905" s="3" t="str">
        <f>HYPERLINK("https://www.boe.es/gazeta/dias/1818/06/13/pdfs/GMD-1818-71.pdf#page=8","Abrir facsímil")</f>
        <v>Abrir facsímil</v>
      </c>
      <c r="K905" s="3" t="s">
        <v>38</v>
      </c>
    </row>
    <row r="906" spans="1:11" ht="42" customHeight="1">
      <c r="A906" s="2" t="s">
        <v>2364</v>
      </c>
      <c r="B906" s="2" t="s">
        <v>2365</v>
      </c>
      <c r="C906" s="2" t="s">
        <v>97</v>
      </c>
      <c r="D906" s="2" t="s">
        <v>18</v>
      </c>
      <c r="E906" s="5">
        <v>-29754</v>
      </c>
      <c r="F906" s="3" t="s">
        <v>466</v>
      </c>
      <c r="G906" s="3" t="s">
        <v>45</v>
      </c>
      <c r="H906" s="2" t="s">
        <v>36</v>
      </c>
      <c r="I906" s="2" t="s">
        <v>2367</v>
      </c>
      <c r="J906" s="3" t="str">
        <f>HYPERLINK("https://www.boe.es/gazeta/dias/1818/07/14/pdfs/GMD-1818-84.pdf#page=8","Abrir facsímil")</f>
        <v>Abrir facsímil</v>
      </c>
      <c r="K906" s="3" t="s">
        <v>38</v>
      </c>
    </row>
    <row r="907" spans="1:11" ht="42" customHeight="1">
      <c r="A907" s="2" t="s">
        <v>2364</v>
      </c>
      <c r="B907" s="2" t="s">
        <v>2365</v>
      </c>
      <c r="C907" s="2" t="s">
        <v>63</v>
      </c>
      <c r="D907" s="2" t="s">
        <v>18</v>
      </c>
      <c r="E907" s="5">
        <v>-29722</v>
      </c>
      <c r="F907" s="3" t="s">
        <v>1127</v>
      </c>
      <c r="G907" s="3" t="s">
        <v>45</v>
      </c>
      <c r="H907" s="2" t="s">
        <v>36</v>
      </c>
      <c r="I907" s="2" t="s">
        <v>2368</v>
      </c>
      <c r="J907" s="3" t="str">
        <f>HYPERLINK("https://www.boe.es/gazeta/dias/1818/08/15/pdfs/GMD-1818-98.pdf#page=8","Abrir facsímil")</f>
        <v>Abrir facsímil</v>
      </c>
      <c r="K907" s="3" t="s">
        <v>38</v>
      </c>
    </row>
    <row r="908" spans="1:11" ht="42" customHeight="1">
      <c r="A908" s="2" t="s">
        <v>2364</v>
      </c>
      <c r="B908" s="2" t="s">
        <v>2365</v>
      </c>
      <c r="C908" s="2" t="s">
        <v>63</v>
      </c>
      <c r="D908" s="2" t="s">
        <v>18</v>
      </c>
      <c r="E908" s="5">
        <v>-29624</v>
      </c>
      <c r="F908" s="3" t="s">
        <v>131</v>
      </c>
      <c r="G908" s="3" t="s">
        <v>45</v>
      </c>
      <c r="H908" s="2" t="s">
        <v>36</v>
      </c>
      <c r="I908" s="2" t="s">
        <v>2369</v>
      </c>
      <c r="J908" s="3" t="str">
        <f>HYPERLINK("https://www.boe.es/gazeta/dias/1818/11/21/pdfs/GMD-1818-141.pdf#page=8","Abrir facsímil")</f>
        <v>Abrir facsímil</v>
      </c>
      <c r="K908" s="3" t="s">
        <v>38</v>
      </c>
    </row>
    <row r="909" spans="1:11" ht="42" customHeight="1">
      <c r="A909" s="2" t="s">
        <v>2370</v>
      </c>
      <c r="B909" s="2" t="s">
        <v>2371</v>
      </c>
      <c r="C909" s="2" t="s">
        <v>68</v>
      </c>
      <c r="D909" s="2" t="s">
        <v>69</v>
      </c>
      <c r="E909" s="5">
        <v>-29670</v>
      </c>
      <c r="F909" s="3" t="s">
        <v>48</v>
      </c>
      <c r="G909" s="3" t="s">
        <v>45</v>
      </c>
      <c r="H909" s="2" t="s">
        <v>36</v>
      </c>
      <c r="I909" s="2" t="s">
        <v>2372</v>
      </c>
      <c r="J909" s="3" t="str">
        <f>HYPERLINK("https://www.boe.es/gazeta/dias/1818/10/06/pdfs/GMD-1818-120.pdf#page=8","Abrir facsímil")</f>
        <v>Abrir facsímil</v>
      </c>
      <c r="K909" s="3" t="s">
        <v>38</v>
      </c>
    </row>
    <row r="910" spans="1:11" ht="42" customHeight="1">
      <c r="A910" s="2" t="s">
        <v>2373</v>
      </c>
      <c r="B910" s="2" t="s">
        <v>2374</v>
      </c>
      <c r="C910" s="2" t="s">
        <v>17</v>
      </c>
      <c r="D910" s="2" t="s">
        <v>18</v>
      </c>
      <c r="E910" s="5">
        <v>-29698</v>
      </c>
      <c r="F910" s="3" t="s">
        <v>148</v>
      </c>
      <c r="G910" s="3" t="s">
        <v>29</v>
      </c>
      <c r="H910" s="2" t="s">
        <v>36</v>
      </c>
      <c r="I910" s="2" t="s">
        <v>2375</v>
      </c>
      <c r="J910" s="3" t="str">
        <f>HYPERLINK("https://www.boe.es/gazeta/dias/1818/09/08/pdfs/GMD-1818-108.pdf#page=4","Abrir facsímil")</f>
        <v>Abrir facsímil</v>
      </c>
      <c r="K910" s="3" t="s">
        <v>38</v>
      </c>
    </row>
    <row r="911" spans="1:11" ht="42" customHeight="1">
      <c r="A911" s="2" t="s">
        <v>2376</v>
      </c>
      <c r="B911" s="2" t="s">
        <v>2377</v>
      </c>
      <c r="C911" s="2" t="s">
        <v>97</v>
      </c>
      <c r="D911" s="2" t="s">
        <v>18</v>
      </c>
      <c r="E911" s="5">
        <v>-29918</v>
      </c>
      <c r="F911" s="3" t="s">
        <v>89</v>
      </c>
      <c r="G911" s="3" t="s">
        <v>90</v>
      </c>
      <c r="H911" s="2" t="s">
        <v>36</v>
      </c>
      <c r="I911" s="2" t="s">
        <v>2378</v>
      </c>
      <c r="J911" s="3" t="str">
        <f>HYPERLINK("https://www.boe.es/gazeta/dias/1818/01/31/pdfs/GMD-1818-14.pdf#page=10","Abrir facsímil")</f>
        <v>Abrir facsímil</v>
      </c>
      <c r="K911" s="3" t="s">
        <v>38</v>
      </c>
    </row>
    <row r="912" spans="1:11" ht="42" customHeight="1">
      <c r="A912" s="2" t="s">
        <v>2379</v>
      </c>
      <c r="B912" s="2" t="s">
        <v>2380</v>
      </c>
      <c r="C912" s="2" t="s">
        <v>17</v>
      </c>
      <c r="D912" s="2" t="s">
        <v>18</v>
      </c>
      <c r="E912" s="5">
        <v>-29687</v>
      </c>
      <c r="F912" s="3" t="s">
        <v>686</v>
      </c>
      <c r="G912" s="3" t="s">
        <v>29</v>
      </c>
      <c r="H912" s="2" t="s">
        <v>36</v>
      </c>
      <c r="I912" s="2" t="s">
        <v>2381</v>
      </c>
      <c r="J912" s="3" t="str">
        <f>HYPERLINK("https://www.boe.es/gazeta/dias/1818/09/19/pdfs/GMD-1818-113.pdf#page=4","Abrir facsímil")</f>
        <v>Abrir facsímil</v>
      </c>
      <c r="K912" s="3" t="s">
        <v>38</v>
      </c>
    </row>
    <row r="913" spans="1:11" ht="42" customHeight="1">
      <c r="A913" s="2" t="s">
        <v>2382</v>
      </c>
      <c r="B913" s="2" t="s">
        <v>2383</v>
      </c>
      <c r="C913" s="2" t="s">
        <v>26</v>
      </c>
      <c r="D913" s="2" t="s">
        <v>27</v>
      </c>
      <c r="E913" s="5">
        <v>-29901</v>
      </c>
      <c r="F913" s="3" t="s">
        <v>417</v>
      </c>
      <c r="G913" s="3" t="s">
        <v>418</v>
      </c>
      <c r="H913" s="2" t="s">
        <v>36</v>
      </c>
      <c r="I913" s="2" t="s">
        <v>2384</v>
      </c>
      <c r="J913" s="3" t="str">
        <f>HYPERLINK("https://www.boe.es/gazeta/dias/1818/02/17/pdfs/GMD-1818-21.pdf#page=9","Abrir facsímil")</f>
        <v>Abrir facsímil</v>
      </c>
      <c r="K913" s="3" t="s">
        <v>38</v>
      </c>
    </row>
    <row r="914" spans="1:11" ht="42" customHeight="1">
      <c r="A914" s="2" t="s">
        <v>2385</v>
      </c>
      <c r="B914" s="2" t="s">
        <v>2386</v>
      </c>
      <c r="C914" s="2" t="s">
        <v>26</v>
      </c>
      <c r="D914" s="2" t="s">
        <v>27</v>
      </c>
      <c r="E914" s="5">
        <v>-29603</v>
      </c>
      <c r="F914" s="3" t="s">
        <v>647</v>
      </c>
      <c r="G914" s="3" t="s">
        <v>2387</v>
      </c>
      <c r="H914" s="2" t="s">
        <v>36</v>
      </c>
      <c r="I914" s="2" t="s">
        <v>2388</v>
      </c>
      <c r="J914" s="3" t="str">
        <f>HYPERLINK("https://www.boe.es/gazeta/dias/1818/12/12/pdfs/GMD-1818-150.pdf#page=7","Abrir facsímil")</f>
        <v>Abrir facsímil</v>
      </c>
      <c r="K914" s="3" t="s">
        <v>38</v>
      </c>
    </row>
    <row r="915" spans="1:11" ht="42" customHeight="1">
      <c r="A915" s="2" t="s">
        <v>2389</v>
      </c>
      <c r="B915" s="2" t="s">
        <v>2390</v>
      </c>
      <c r="C915" s="2" t="s">
        <v>26</v>
      </c>
      <c r="D915" s="2" t="s">
        <v>27</v>
      </c>
      <c r="E915" s="5">
        <v>-29736</v>
      </c>
      <c r="F915" s="3" t="s">
        <v>581</v>
      </c>
      <c r="G915" s="3" t="s">
        <v>106</v>
      </c>
      <c r="H915" s="2" t="s">
        <v>36</v>
      </c>
      <c r="I915" s="2" t="s">
        <v>2391</v>
      </c>
      <c r="J915" s="3" t="str">
        <f>HYPERLINK("https://www.boe.es/gazeta/dias/1818/08/01/pdfs/GMD-1818-92.pdf#page=5","Abrir facsímil")</f>
        <v>Abrir facsímil</v>
      </c>
      <c r="K915" s="3" t="s">
        <v>38</v>
      </c>
    </row>
    <row r="916" spans="1:11" ht="42" customHeight="1">
      <c r="A916" s="2" t="s">
        <v>2392</v>
      </c>
      <c r="B916" s="2" t="s">
        <v>2393</v>
      </c>
      <c r="C916" s="2" t="s">
        <v>17</v>
      </c>
      <c r="D916" s="2" t="s">
        <v>18</v>
      </c>
      <c r="E916" s="5">
        <v>-29698</v>
      </c>
      <c r="F916" s="3" t="s">
        <v>148</v>
      </c>
      <c r="G916" s="3" t="s">
        <v>29</v>
      </c>
      <c r="H916" s="2" t="s">
        <v>36</v>
      </c>
      <c r="I916" s="2" t="s">
        <v>2394</v>
      </c>
      <c r="J916" s="3" t="str">
        <f>HYPERLINK("https://www.boe.es/gazeta/dias/1818/09/08/pdfs/GMD-1818-108.pdf#page=4","Abrir facsímil")</f>
        <v>Abrir facsímil</v>
      </c>
      <c r="K916" s="3" t="s">
        <v>38</v>
      </c>
    </row>
    <row r="917" spans="1:11" ht="42" customHeight="1">
      <c r="A917" s="2" t="s">
        <v>2395</v>
      </c>
      <c r="B917" s="2" t="s">
        <v>2396</v>
      </c>
      <c r="C917" s="2" t="s">
        <v>26</v>
      </c>
      <c r="D917" s="2" t="s">
        <v>27</v>
      </c>
      <c r="E917" s="5">
        <v>-29593</v>
      </c>
      <c r="F917" s="3" t="s">
        <v>185</v>
      </c>
      <c r="G917" s="3" t="s">
        <v>186</v>
      </c>
      <c r="H917" s="2" t="s">
        <v>36</v>
      </c>
      <c r="I917" s="2" t="s">
        <v>2397</v>
      </c>
      <c r="J917" s="3" t="str">
        <f>HYPERLINK("https://www.boe.es/gazeta/dias/1818/12/22/pdfs/GMD-1818-154.pdf#page=5","Abrir facsímil")</f>
        <v>Abrir facsímil</v>
      </c>
      <c r="K917" s="3" t="s">
        <v>38</v>
      </c>
    </row>
    <row r="918" spans="1:11" ht="42" customHeight="1">
      <c r="A918" s="2" t="s">
        <v>2398</v>
      </c>
      <c r="B918" s="2" t="s">
        <v>2399</v>
      </c>
      <c r="C918" s="2" t="s">
        <v>26</v>
      </c>
      <c r="D918" s="2" t="s">
        <v>27</v>
      </c>
      <c r="E918" s="5">
        <v>-29626</v>
      </c>
      <c r="F918" s="3" t="s">
        <v>496</v>
      </c>
      <c r="G918" s="3" t="s">
        <v>882</v>
      </c>
      <c r="H918" s="2" t="s">
        <v>36</v>
      </c>
      <c r="I918" s="2" t="s">
        <v>2400</v>
      </c>
      <c r="J918" s="3" t="str">
        <f>HYPERLINK("https://www.boe.es/gazeta/dias/1818/11/19/pdfs/GMD-1818-140.pdf#page=4","Abrir facsímil")</f>
        <v>Abrir facsímil</v>
      </c>
      <c r="K918" s="3" t="s">
        <v>38</v>
      </c>
    </row>
    <row r="919" spans="1:11" ht="42" customHeight="1">
      <c r="A919" s="2" t="s">
        <v>2401</v>
      </c>
      <c r="B919" s="2" t="s">
        <v>2402</v>
      </c>
      <c r="C919" s="2" t="s">
        <v>17</v>
      </c>
      <c r="D919" s="2" t="s">
        <v>18</v>
      </c>
      <c r="E919" s="5">
        <v>-29708</v>
      </c>
      <c r="F919" s="3" t="s">
        <v>413</v>
      </c>
      <c r="G919" s="3" t="s">
        <v>106</v>
      </c>
      <c r="H919" s="2" t="s">
        <v>36</v>
      </c>
      <c r="I919" s="2" t="s">
        <v>2403</v>
      </c>
      <c r="J919" s="3" t="str">
        <f>HYPERLINK("https://www.boe.es/gazeta/dias/1818/08/29/pdfs/GMD-1818-104.pdf#page=5","Abrir facsímil")</f>
        <v>Abrir facsímil</v>
      </c>
      <c r="K919" s="3" t="s">
        <v>38</v>
      </c>
    </row>
    <row r="920" spans="1:11" ht="42" customHeight="1">
      <c r="A920" s="2" t="s">
        <v>2404</v>
      </c>
      <c r="B920" s="2" t="s">
        <v>2405</v>
      </c>
      <c r="C920" s="2" t="s">
        <v>26</v>
      </c>
      <c r="D920" s="2" t="s">
        <v>27</v>
      </c>
      <c r="E920" s="5">
        <v>-29661</v>
      </c>
      <c r="F920" s="3" t="s">
        <v>348</v>
      </c>
      <c r="G920" s="3" t="s">
        <v>2123</v>
      </c>
      <c r="H920" s="2" t="s">
        <v>36</v>
      </c>
      <c r="I920" s="2" t="s">
        <v>2406</v>
      </c>
      <c r="J920" s="3" t="str">
        <f>HYPERLINK("https://www.boe.es/gazeta/dias/1818/10/15/pdfs/GMD-1818-124.pdf#page=5","Abrir facsímil")</f>
        <v>Abrir facsímil</v>
      </c>
      <c r="K920" s="3" t="s">
        <v>38</v>
      </c>
    </row>
    <row r="921" spans="1:11" ht="42" customHeight="1">
      <c r="A921" s="2" t="s">
        <v>2407</v>
      </c>
      <c r="B921" s="2" t="s">
        <v>2408</v>
      </c>
      <c r="C921" s="2" t="s">
        <v>26</v>
      </c>
      <c r="D921" s="2" t="s">
        <v>27</v>
      </c>
      <c r="E921" s="5">
        <v>-29904</v>
      </c>
      <c r="F921" s="3" t="s">
        <v>451</v>
      </c>
      <c r="G921" s="3" t="s">
        <v>20</v>
      </c>
      <c r="H921" s="2" t="s">
        <v>36</v>
      </c>
      <c r="I921" s="2" t="s">
        <v>2409</v>
      </c>
      <c r="J921" s="3" t="str">
        <f>HYPERLINK("https://www.boe.es/gazeta/dias/1818/02/14/pdfs/GMD-1818-20.pdf#page=7","Abrir facsímil")</f>
        <v>Abrir facsímil</v>
      </c>
      <c r="K921" s="3" t="s">
        <v>38</v>
      </c>
    </row>
    <row r="922" spans="1:11" ht="42" customHeight="1">
      <c r="A922" s="2" t="s">
        <v>2410</v>
      </c>
      <c r="B922" s="2" t="s">
        <v>2411</v>
      </c>
      <c r="C922" s="2" t="s">
        <v>57</v>
      </c>
      <c r="D922" s="2" t="s">
        <v>18</v>
      </c>
      <c r="E922" s="5">
        <v>-29866</v>
      </c>
      <c r="F922" s="3" t="s">
        <v>828</v>
      </c>
      <c r="G922" s="3" t="s">
        <v>29</v>
      </c>
      <c r="H922" s="2" t="s">
        <v>36</v>
      </c>
      <c r="I922" s="2" t="s">
        <v>2412</v>
      </c>
      <c r="J922" s="3" t="str">
        <f>HYPERLINK("https://www.boe.es/gazeta/dias/1818/03/24/pdfs/GMD-1818-36.pdf#page=4","Abrir facsímil")</f>
        <v>Abrir facsímil</v>
      </c>
      <c r="K922" s="3" t="s">
        <v>38</v>
      </c>
    </row>
    <row r="923" spans="1:11" ht="42" customHeight="1">
      <c r="A923" s="2" t="s">
        <v>2410</v>
      </c>
      <c r="B923" s="2" t="s">
        <v>2411</v>
      </c>
      <c r="C923" s="2" t="s">
        <v>68</v>
      </c>
      <c r="D923" s="2" t="s">
        <v>69</v>
      </c>
      <c r="E923" s="5">
        <v>-29866</v>
      </c>
      <c r="F923" s="3" t="s">
        <v>828</v>
      </c>
      <c r="G923" s="3" t="s">
        <v>106</v>
      </c>
      <c r="H923" s="2" t="s">
        <v>36</v>
      </c>
      <c r="I923" s="2" t="s">
        <v>2413</v>
      </c>
      <c r="J923" s="3" t="str">
        <f>HYPERLINK("https://www.boe.es/gazeta/dias/1818/03/24/pdfs/GMD-1818-36.pdf#page=5","Abrir facsímil")</f>
        <v>Abrir facsímil</v>
      </c>
      <c r="K923" s="3" t="s">
        <v>38</v>
      </c>
    </row>
    <row r="924" spans="1:11" ht="42" customHeight="1">
      <c r="A924" s="2" t="s">
        <v>2414</v>
      </c>
      <c r="B924" s="2" t="s">
        <v>2415</v>
      </c>
      <c r="C924" s="2" t="s">
        <v>26</v>
      </c>
      <c r="D924" s="2" t="s">
        <v>27</v>
      </c>
      <c r="E924" s="5">
        <v>-29878</v>
      </c>
      <c r="F924" s="3" t="s">
        <v>353</v>
      </c>
      <c r="G924" s="3" t="s">
        <v>20</v>
      </c>
      <c r="H924" s="2" t="s">
        <v>36</v>
      </c>
      <c r="I924" s="2" t="s">
        <v>2416</v>
      </c>
      <c r="J924" s="3" t="str">
        <f>HYPERLINK("https://www.boe.es/gazeta/dias/1818/03/12/pdfs/GMD-1818-31.pdf#page=7","Abrir facsímil")</f>
        <v>Abrir facsímil</v>
      </c>
      <c r="K924" s="3" t="s">
        <v>38</v>
      </c>
    </row>
    <row r="925" spans="1:11" ht="42" customHeight="1">
      <c r="A925" s="2" t="s">
        <v>2417</v>
      </c>
      <c r="B925" s="2" t="s">
        <v>2418</v>
      </c>
      <c r="C925" s="2" t="s">
        <v>17</v>
      </c>
      <c r="D925" s="2" t="s">
        <v>18</v>
      </c>
      <c r="E925" s="5">
        <v>-29635</v>
      </c>
      <c r="F925" s="3" t="s">
        <v>560</v>
      </c>
      <c r="G925" s="3" t="s">
        <v>20</v>
      </c>
      <c r="H925" s="2" t="s">
        <v>36</v>
      </c>
      <c r="I925" s="2" t="s">
        <v>2419</v>
      </c>
      <c r="J925" s="3" t="str">
        <f>HYPERLINK("https://www.boe.es/gazeta/dias/1818/11/10/pdfs/GMD-1818-136.pdf#page=7","Abrir facsímil")</f>
        <v>Abrir facsímil</v>
      </c>
      <c r="K925" s="3" t="s">
        <v>38</v>
      </c>
    </row>
    <row r="926" spans="1:11" ht="42" customHeight="1">
      <c r="A926" s="2" t="s">
        <v>2420</v>
      </c>
      <c r="B926" s="2" t="s">
        <v>2421</v>
      </c>
      <c r="C926" s="2" t="s">
        <v>17</v>
      </c>
      <c r="D926" s="2" t="s">
        <v>18</v>
      </c>
      <c r="E926" s="5">
        <v>-29934</v>
      </c>
      <c r="F926" s="3" t="s">
        <v>53</v>
      </c>
      <c r="G926" s="3" t="s">
        <v>45</v>
      </c>
      <c r="H926" s="2" t="s">
        <v>36</v>
      </c>
      <c r="I926" s="2" t="s">
        <v>2422</v>
      </c>
      <c r="J926" s="3" t="str">
        <f>HYPERLINK("https://www.boe.es/gazeta/dias/1818/01/15/pdfs/GMD-1818-7.pdf#page=8","Abrir facsímil")</f>
        <v>Abrir facsímil</v>
      </c>
      <c r="K926" s="3" t="s">
        <v>38</v>
      </c>
    </row>
    <row r="927" spans="1:11" ht="42" customHeight="1">
      <c r="A927" s="2" t="s">
        <v>2423</v>
      </c>
      <c r="B927" s="2" t="s">
        <v>2424</v>
      </c>
      <c r="C927" s="2" t="s">
        <v>17</v>
      </c>
      <c r="D927" s="2" t="s">
        <v>18</v>
      </c>
      <c r="E927" s="5">
        <v>-29864</v>
      </c>
      <c r="F927" s="3" t="s">
        <v>196</v>
      </c>
      <c r="G927" s="3" t="s">
        <v>2425</v>
      </c>
      <c r="H927" s="2" t="s">
        <v>36</v>
      </c>
      <c r="I927" s="2" t="s">
        <v>2426</v>
      </c>
      <c r="J927" s="3" t="str">
        <f>HYPERLINK("https://www.boe.es/gazeta/dias/1818/03/26/pdfs/GMD-1818-37.pdf#page=7","Abrir facsímil")</f>
        <v>Abrir facsímil</v>
      </c>
      <c r="K927" s="3" t="s">
        <v>38</v>
      </c>
    </row>
    <row r="928" spans="1:11" ht="42" customHeight="1">
      <c r="A928" s="2" t="s">
        <v>2427</v>
      </c>
      <c r="B928" s="2" t="s">
        <v>2428</v>
      </c>
      <c r="C928" s="2" t="s">
        <v>26</v>
      </c>
      <c r="D928" s="2" t="s">
        <v>27</v>
      </c>
      <c r="E928" s="5">
        <v>-29750</v>
      </c>
      <c r="F928" s="3" t="s">
        <v>384</v>
      </c>
      <c r="G928" s="3" t="s">
        <v>111</v>
      </c>
      <c r="H928" s="2" t="s">
        <v>36</v>
      </c>
      <c r="I928" s="2" t="s">
        <v>2429</v>
      </c>
      <c r="J928" s="3" t="str">
        <f>HYPERLINK("https://www.boe.es/gazeta/dias/1818/07/18/pdfs/GMD-1818-86.pdf#page=11","Abrir facsímil")</f>
        <v>Abrir facsímil</v>
      </c>
      <c r="K928" s="3" t="s">
        <v>38</v>
      </c>
    </row>
    <row r="929" spans="1:11" ht="42" customHeight="1">
      <c r="A929" s="2" t="s">
        <v>2430</v>
      </c>
      <c r="B929" s="2" t="s">
        <v>2431</v>
      </c>
      <c r="C929" s="2" t="s">
        <v>17</v>
      </c>
      <c r="D929" s="2" t="s">
        <v>18</v>
      </c>
      <c r="E929" s="5">
        <v>-29698</v>
      </c>
      <c r="F929" s="3" t="s">
        <v>148</v>
      </c>
      <c r="G929" s="3" t="s">
        <v>106</v>
      </c>
      <c r="H929" s="2" t="s">
        <v>36</v>
      </c>
      <c r="I929" s="2" t="s">
        <v>2432</v>
      </c>
      <c r="J929" s="3" t="str">
        <f>HYPERLINK("https://www.boe.es/gazeta/dias/1818/09/08/pdfs/GMD-1818-108.pdf#page=5","Abrir facsímil")</f>
        <v>Abrir facsímil</v>
      </c>
      <c r="K929" s="3" t="s">
        <v>38</v>
      </c>
    </row>
    <row r="930" spans="1:11" ht="42" customHeight="1">
      <c r="A930" s="2" t="s">
        <v>2433</v>
      </c>
      <c r="B930" s="2" t="s">
        <v>2434</v>
      </c>
      <c r="C930" s="2" t="s">
        <v>26</v>
      </c>
      <c r="D930" s="2" t="s">
        <v>27</v>
      </c>
      <c r="E930" s="5">
        <v>-29654</v>
      </c>
      <c r="F930" s="3" t="s">
        <v>219</v>
      </c>
      <c r="G930" s="3" t="s">
        <v>20</v>
      </c>
      <c r="H930" s="2" t="s">
        <v>36</v>
      </c>
      <c r="I930" s="2" t="s">
        <v>2435</v>
      </c>
      <c r="J930" s="3" t="str">
        <f>HYPERLINK("https://www.boe.es/gazeta/dias/1818/10/22/pdfs/GMD-1818-128.pdf#page=7","Abrir facsímil")</f>
        <v>Abrir facsímil</v>
      </c>
      <c r="K930" s="3" t="s">
        <v>38</v>
      </c>
    </row>
    <row r="931" spans="1:11" ht="42" customHeight="1">
      <c r="A931" s="2" t="s">
        <v>2436</v>
      </c>
      <c r="B931" s="2" t="s">
        <v>2437</v>
      </c>
      <c r="C931" s="2" t="s">
        <v>57</v>
      </c>
      <c r="D931" s="2" t="s">
        <v>18</v>
      </c>
      <c r="E931" s="5">
        <v>-29600</v>
      </c>
      <c r="F931" s="3" t="s">
        <v>697</v>
      </c>
      <c r="G931" s="3" t="s">
        <v>45</v>
      </c>
      <c r="H931" s="2" t="s">
        <v>21</v>
      </c>
      <c r="I931" s="2" t="s">
        <v>2438</v>
      </c>
      <c r="J931" s="3" t="str">
        <f>HYPERLINK("https://www.boe.es/gazeta/dias/1818/12/15/pdfs/GMD-1818-151.pdf#page=8","Abrir facsímil")</f>
        <v>Abrir facsímil</v>
      </c>
      <c r="K931" s="3" t="s">
        <v>23</v>
      </c>
    </row>
    <row r="932" spans="1:11" ht="42" customHeight="1">
      <c r="A932" s="2" t="s">
        <v>2439</v>
      </c>
      <c r="B932" s="2" t="s">
        <v>2439</v>
      </c>
      <c r="C932" s="2" t="s">
        <v>215</v>
      </c>
      <c r="D932" s="2" t="s">
        <v>18</v>
      </c>
      <c r="E932" s="5">
        <v>-29892</v>
      </c>
      <c r="F932" s="3" t="s">
        <v>39</v>
      </c>
      <c r="G932" s="3" t="s">
        <v>85</v>
      </c>
      <c r="H932" s="2" t="s">
        <v>36</v>
      </c>
      <c r="I932" s="2" t="s">
        <v>2440</v>
      </c>
      <c r="J932" s="3" t="str">
        <f>HYPERLINK("https://www.boe.es/gazeta/dias/1818/02/26/pdfs/GMD-1818-25.pdf#page=3","Abrir facsímil")</f>
        <v>Abrir facsímil</v>
      </c>
      <c r="K932" s="3" t="s">
        <v>38</v>
      </c>
    </row>
    <row r="933" spans="1:11" ht="42" customHeight="1">
      <c r="A933" s="2" t="s">
        <v>2441</v>
      </c>
      <c r="B933" s="2" t="s">
        <v>2441</v>
      </c>
      <c r="C933" s="2" t="s">
        <v>26</v>
      </c>
      <c r="D933" s="2" t="s">
        <v>27</v>
      </c>
      <c r="E933" s="5">
        <v>-29932</v>
      </c>
      <c r="F933" s="3" t="s">
        <v>34</v>
      </c>
      <c r="G933" s="3" t="s">
        <v>85</v>
      </c>
      <c r="H933" s="2" t="s">
        <v>36</v>
      </c>
      <c r="I933" s="2" t="s">
        <v>2442</v>
      </c>
      <c r="J933" s="3" t="str">
        <f>HYPERLINK("https://www.boe.es/gazeta/dias/1818/01/17/pdfs/GMD-1818-8.pdf#page=3","Abrir facsímil")</f>
        <v>Abrir facsímil</v>
      </c>
      <c r="K933" s="3" t="s">
        <v>38</v>
      </c>
    </row>
    <row r="934" spans="1:11" ht="42" customHeight="1">
      <c r="A934" s="2" t="s">
        <v>2443</v>
      </c>
      <c r="B934" s="2" t="s">
        <v>2444</v>
      </c>
      <c r="C934" s="2" t="s">
        <v>26</v>
      </c>
      <c r="D934" s="2" t="s">
        <v>27</v>
      </c>
      <c r="E934" s="5">
        <v>-29904</v>
      </c>
      <c r="F934" s="3" t="s">
        <v>451</v>
      </c>
      <c r="G934" s="3" t="s">
        <v>20</v>
      </c>
      <c r="H934" s="2" t="s">
        <v>36</v>
      </c>
      <c r="I934" s="2" t="s">
        <v>2445</v>
      </c>
      <c r="J934" s="3" t="str">
        <f>HYPERLINK("https://www.boe.es/gazeta/dias/1818/02/14/pdfs/GMD-1818-20.pdf#page=7","Abrir facsímil")</f>
        <v>Abrir facsímil</v>
      </c>
      <c r="K934" s="3" t="s">
        <v>38</v>
      </c>
    </row>
    <row r="935" spans="1:11" ht="42" customHeight="1">
      <c r="A935" s="2" t="s">
        <v>2446</v>
      </c>
      <c r="B935" s="2" t="s">
        <v>2447</v>
      </c>
      <c r="C935" s="2" t="s">
        <v>26</v>
      </c>
      <c r="D935" s="2" t="s">
        <v>27</v>
      </c>
      <c r="E935" s="5">
        <v>-29752</v>
      </c>
      <c r="F935" s="3" t="s">
        <v>165</v>
      </c>
      <c r="G935" s="3" t="s">
        <v>29</v>
      </c>
      <c r="H935" s="2" t="s">
        <v>36</v>
      </c>
      <c r="I935" s="2" t="s">
        <v>2448</v>
      </c>
      <c r="J935" s="3" t="str">
        <f>HYPERLINK("https://www.boe.es/gazeta/dias/1818/07/16/pdfs/GMD-1818-85.pdf#page=4","Abrir facsímil")</f>
        <v>Abrir facsímil</v>
      </c>
      <c r="K935" s="3" t="s">
        <v>38</v>
      </c>
    </row>
    <row r="936" spans="1:11" ht="42" customHeight="1">
      <c r="A936" s="2" t="s">
        <v>2449</v>
      </c>
      <c r="B936" s="2" t="s">
        <v>2450</v>
      </c>
      <c r="C936" s="2" t="s">
        <v>17</v>
      </c>
      <c r="D936" s="2" t="s">
        <v>18</v>
      </c>
      <c r="E936" s="5">
        <v>-29589</v>
      </c>
      <c r="F936" s="3" t="s">
        <v>210</v>
      </c>
      <c r="G936" s="3" t="s">
        <v>20</v>
      </c>
      <c r="H936" s="2" t="s">
        <v>36</v>
      </c>
      <c r="I936" s="2" t="s">
        <v>2451</v>
      </c>
      <c r="J936" s="3" t="str">
        <f>HYPERLINK("https://www.boe.es/gazeta/dias/1818/12/26/pdfs/GMD-1818-156.pdf#page=7","Abrir facsímil")</f>
        <v>Abrir facsímil</v>
      </c>
      <c r="K936" s="3" t="s">
        <v>38</v>
      </c>
    </row>
    <row r="937" spans="1:11" ht="42" customHeight="1">
      <c r="A937" s="2" t="s">
        <v>2452</v>
      </c>
      <c r="B937" s="2" t="s">
        <v>2453</v>
      </c>
      <c r="C937" s="2" t="s">
        <v>57</v>
      </c>
      <c r="D937" s="2" t="s">
        <v>18</v>
      </c>
      <c r="E937" s="5">
        <v>-29948</v>
      </c>
      <c r="F937" s="3" t="s">
        <v>199</v>
      </c>
      <c r="G937" s="3" t="s">
        <v>29</v>
      </c>
      <c r="H937" s="2" t="s">
        <v>36</v>
      </c>
      <c r="I937" s="2" t="s">
        <v>2454</v>
      </c>
      <c r="J937" s="3" t="str">
        <f>HYPERLINK("https://www.boe.es/gazeta/dias/1818/01/01/pdfs/GMD-1818-1.pdf#page=4","Abrir facsímil")</f>
        <v>Abrir facsímil</v>
      </c>
      <c r="K937" s="3" t="s">
        <v>38</v>
      </c>
    </row>
    <row r="938" spans="1:11" ht="42" customHeight="1">
      <c r="A938" s="2" t="s">
        <v>2452</v>
      </c>
      <c r="B938" s="2" t="s">
        <v>2453</v>
      </c>
      <c r="C938" s="2" t="s">
        <v>26</v>
      </c>
      <c r="D938" s="2" t="s">
        <v>27</v>
      </c>
      <c r="E938" s="5">
        <v>-29946</v>
      </c>
      <c r="F938" s="3" t="s">
        <v>724</v>
      </c>
      <c r="G938" s="3" t="s">
        <v>29</v>
      </c>
      <c r="H938" s="2" t="s">
        <v>36</v>
      </c>
      <c r="I938" s="2" t="s">
        <v>2455</v>
      </c>
      <c r="J938" s="3" t="str">
        <f>HYPERLINK("https://www.boe.es/gazeta/dias/1818/01/03/pdfs/GMD-1818-2.pdf#page=4","Abrir facsímil")</f>
        <v>Abrir facsímil</v>
      </c>
      <c r="K938" s="3" t="s">
        <v>38</v>
      </c>
    </row>
    <row r="939" spans="1:11" ht="42" customHeight="1">
      <c r="A939" s="2" t="s">
        <v>2456</v>
      </c>
      <c r="B939" s="2" t="s">
        <v>2457</v>
      </c>
      <c r="C939" s="2" t="s">
        <v>26</v>
      </c>
      <c r="D939" s="2" t="s">
        <v>27</v>
      </c>
      <c r="E939" s="5">
        <v>-29948</v>
      </c>
      <c r="F939" s="3" t="s">
        <v>199</v>
      </c>
      <c r="G939" s="3" t="s">
        <v>544</v>
      </c>
      <c r="H939" s="2" t="s">
        <v>36</v>
      </c>
      <c r="I939" s="2" t="s">
        <v>2458</v>
      </c>
      <c r="J939" s="3" t="str">
        <f>HYPERLINK("https://www.boe.es/gazeta/dias/1818/01/01/pdfs/GMD-1818-1.pdf#page=6","Abrir facsímil")</f>
        <v>Abrir facsímil</v>
      </c>
      <c r="K939" s="3" t="s">
        <v>38</v>
      </c>
    </row>
    <row r="940" spans="1:11" ht="42" customHeight="1">
      <c r="A940" s="2" t="s">
        <v>2459</v>
      </c>
      <c r="B940" s="2" t="s">
        <v>2460</v>
      </c>
      <c r="C940" s="2" t="s">
        <v>26</v>
      </c>
      <c r="D940" s="2" t="s">
        <v>27</v>
      </c>
      <c r="E940" s="5">
        <v>-29897</v>
      </c>
      <c r="F940" s="3" t="s">
        <v>318</v>
      </c>
      <c r="G940" s="3" t="s">
        <v>59</v>
      </c>
      <c r="H940" s="2" t="s">
        <v>36</v>
      </c>
      <c r="I940" s="2" t="s">
        <v>2461</v>
      </c>
      <c r="J940" s="3" t="str">
        <f>HYPERLINK("https://www.boe.es/gazeta/dias/1818/02/21/pdfs/GMD-1818-23.pdf#page=6","Abrir facsímil")</f>
        <v>Abrir facsímil</v>
      </c>
      <c r="K940" s="3" t="s">
        <v>38</v>
      </c>
    </row>
    <row r="941" spans="1:11" ht="42" customHeight="1">
      <c r="A941" s="2" t="s">
        <v>2459</v>
      </c>
      <c r="B941" s="2" t="s">
        <v>2460</v>
      </c>
      <c r="C941" s="2" t="s">
        <v>26</v>
      </c>
      <c r="D941" s="2" t="s">
        <v>27</v>
      </c>
      <c r="E941" s="5">
        <v>-29822</v>
      </c>
      <c r="F941" s="3" t="s">
        <v>373</v>
      </c>
      <c r="G941" s="3" t="s">
        <v>59</v>
      </c>
      <c r="H941" s="2" t="s">
        <v>36</v>
      </c>
      <c r="I941" s="2" t="s">
        <v>2462</v>
      </c>
      <c r="J941" s="3" t="str">
        <f>HYPERLINK("https://www.boe.es/gazeta/dias/1818/05/07/pdfs/GMD-1818-55.pdf#page=6","Abrir facsímil")</f>
        <v>Abrir facsímil</v>
      </c>
      <c r="K941" s="3" t="s">
        <v>38</v>
      </c>
    </row>
    <row r="942" spans="1:11" ht="42" customHeight="1">
      <c r="A942" s="2" t="s">
        <v>2459</v>
      </c>
      <c r="B942" s="2" t="s">
        <v>2460</v>
      </c>
      <c r="C942" s="2" t="s">
        <v>26</v>
      </c>
      <c r="D942" s="2" t="s">
        <v>27</v>
      </c>
      <c r="E942" s="5">
        <v>-29696</v>
      </c>
      <c r="F942" s="3" t="s">
        <v>1716</v>
      </c>
      <c r="G942" s="3" t="s">
        <v>85</v>
      </c>
      <c r="H942" s="2" t="s">
        <v>36</v>
      </c>
      <c r="I942" s="2" t="s">
        <v>2463</v>
      </c>
      <c r="J942" s="3" t="str">
        <f>HYPERLINK("https://www.boe.es/gazeta/dias/1818/09/10/pdfs/GMD-1818-109.pdf#page=3","Abrir facsímil")</f>
        <v>Abrir facsímil</v>
      </c>
      <c r="K942" s="3" t="s">
        <v>38</v>
      </c>
    </row>
    <row r="943" spans="1:11" ht="42" customHeight="1">
      <c r="A943" s="2" t="s">
        <v>2459</v>
      </c>
      <c r="B943" s="2" t="s">
        <v>2460</v>
      </c>
      <c r="C943" s="2" t="s">
        <v>26</v>
      </c>
      <c r="D943" s="2" t="s">
        <v>27</v>
      </c>
      <c r="E943" s="5">
        <v>-29661</v>
      </c>
      <c r="F943" s="3" t="s">
        <v>348</v>
      </c>
      <c r="G943" s="3" t="s">
        <v>2464</v>
      </c>
      <c r="H943" s="2" t="s">
        <v>36</v>
      </c>
      <c r="I943" s="2" t="s">
        <v>2465</v>
      </c>
      <c r="J943" s="3" t="str">
        <f>HYPERLINK("https://www.boe.es/gazeta/dias/1818/10/15/pdfs/GMD-1818-124.pdf#page=6","Abrir facsímil")</f>
        <v>Abrir facsímil</v>
      </c>
      <c r="K943" s="3" t="s">
        <v>38</v>
      </c>
    </row>
    <row r="944" spans="1:11" ht="42" customHeight="1">
      <c r="A944" s="2" t="s">
        <v>2459</v>
      </c>
      <c r="B944" s="2" t="s">
        <v>2460</v>
      </c>
      <c r="C944" s="2" t="s">
        <v>17</v>
      </c>
      <c r="D944" s="2" t="s">
        <v>18</v>
      </c>
      <c r="E944" s="5">
        <v>-29596</v>
      </c>
      <c r="F944" s="3" t="s">
        <v>555</v>
      </c>
      <c r="G944" s="3" t="s">
        <v>20</v>
      </c>
      <c r="H944" s="2" t="s">
        <v>36</v>
      </c>
      <c r="I944" s="2" t="s">
        <v>2466</v>
      </c>
      <c r="J944" s="3" t="str">
        <f>HYPERLINK("https://www.boe.es/gazeta/dias/1818/12/19/pdfs/GMD-1818-153.pdf#page=7","Abrir facsímil")</f>
        <v>Abrir facsímil</v>
      </c>
      <c r="K944" s="3" t="s">
        <v>38</v>
      </c>
    </row>
    <row r="945" spans="1:11" ht="42" customHeight="1">
      <c r="A945" s="2" t="s">
        <v>2467</v>
      </c>
      <c r="B945" s="2" t="s">
        <v>2468</v>
      </c>
      <c r="C945" s="2" t="s">
        <v>26</v>
      </c>
      <c r="D945" s="2" t="s">
        <v>27</v>
      </c>
      <c r="E945" s="5">
        <v>-29897</v>
      </c>
      <c r="F945" s="3" t="s">
        <v>318</v>
      </c>
      <c r="G945" s="3" t="s">
        <v>45</v>
      </c>
      <c r="H945" s="2" t="s">
        <v>36</v>
      </c>
      <c r="I945" s="2" t="s">
        <v>2469</v>
      </c>
      <c r="J945" s="3" t="str">
        <f>HYPERLINK("https://www.boe.es/gazeta/dias/1818/02/21/pdfs/GMD-1818-23.pdf#page=8","Abrir facsímil")</f>
        <v>Abrir facsímil</v>
      </c>
      <c r="K945" s="3" t="s">
        <v>38</v>
      </c>
    </row>
    <row r="946" spans="1:11" ht="42" customHeight="1">
      <c r="A946" s="2" t="s">
        <v>2470</v>
      </c>
      <c r="B946" s="2" t="s">
        <v>2471</v>
      </c>
      <c r="C946" s="2" t="s">
        <v>17</v>
      </c>
      <c r="D946" s="2" t="s">
        <v>18</v>
      </c>
      <c r="E946" s="5">
        <v>-29927</v>
      </c>
      <c r="F946" s="3" t="s">
        <v>1381</v>
      </c>
      <c r="G946" s="3" t="s">
        <v>45</v>
      </c>
      <c r="H946" s="2" t="s">
        <v>36</v>
      </c>
      <c r="I946" s="2" t="s">
        <v>2472</v>
      </c>
      <c r="J946" s="3" t="str">
        <f>HYPERLINK("https://www.boe.es/gazeta/dias/1818/01/22/pdfs/GMD-1818-10.pdf#page=8","Abrir facsímil")</f>
        <v>Abrir facsímil</v>
      </c>
      <c r="K946" s="3" t="s">
        <v>38</v>
      </c>
    </row>
    <row r="947" spans="1:11" ht="42" customHeight="1">
      <c r="A947" s="2" t="s">
        <v>2473</v>
      </c>
      <c r="B947" s="2" t="s">
        <v>2474</v>
      </c>
      <c r="C947" s="2" t="s">
        <v>26</v>
      </c>
      <c r="D947" s="2" t="s">
        <v>27</v>
      </c>
      <c r="E947" s="5">
        <v>-29901</v>
      </c>
      <c r="F947" s="3" t="s">
        <v>417</v>
      </c>
      <c r="G947" s="3" t="s">
        <v>20</v>
      </c>
      <c r="H947" s="2" t="s">
        <v>36</v>
      </c>
      <c r="I947" s="2" t="s">
        <v>2475</v>
      </c>
      <c r="J947" s="3" t="str">
        <f>HYPERLINK("https://www.boe.es/gazeta/dias/1818/02/17/pdfs/GMD-1818-21.pdf#page=7","Abrir facsímil")</f>
        <v>Abrir facsímil</v>
      </c>
      <c r="K947" s="3" t="s">
        <v>38</v>
      </c>
    </row>
    <row r="948" spans="1:11" ht="42" customHeight="1">
      <c r="A948" s="2" t="s">
        <v>2476</v>
      </c>
      <c r="B948" s="2" t="s">
        <v>2477</v>
      </c>
      <c r="C948" s="2" t="s">
        <v>68</v>
      </c>
      <c r="D948" s="2" t="s">
        <v>69</v>
      </c>
      <c r="E948" s="5">
        <v>-29656</v>
      </c>
      <c r="F948" s="3" t="s">
        <v>601</v>
      </c>
      <c r="G948" s="3" t="s">
        <v>45</v>
      </c>
      <c r="H948" s="2" t="s">
        <v>36</v>
      </c>
      <c r="I948" s="2" t="s">
        <v>2478</v>
      </c>
      <c r="J948" s="3" t="str">
        <f>HYPERLINK("https://www.boe.es/gazeta/dias/1818/10/20/pdfs/GMD-1818-127.pdf#page=8","Abrir facsímil")</f>
        <v>Abrir facsímil</v>
      </c>
      <c r="K948" s="3" t="s">
        <v>38</v>
      </c>
    </row>
    <row r="949" spans="1:11" ht="42" customHeight="1">
      <c r="A949" s="2" t="s">
        <v>2479</v>
      </c>
      <c r="B949" s="2" t="s">
        <v>2480</v>
      </c>
      <c r="C949" s="2" t="s">
        <v>26</v>
      </c>
      <c r="D949" s="2" t="s">
        <v>27</v>
      </c>
      <c r="E949" s="5">
        <v>-29918</v>
      </c>
      <c r="F949" s="3" t="s">
        <v>89</v>
      </c>
      <c r="G949" s="3" t="s">
        <v>116</v>
      </c>
      <c r="H949" s="2" t="s">
        <v>36</v>
      </c>
      <c r="I949" s="2" t="s">
        <v>2481</v>
      </c>
      <c r="J949" s="3" t="str">
        <f>HYPERLINK("https://www.boe.es/gazeta/dias/1818/01/31/pdfs/GMD-1818-14.pdf#page=12","Abrir facsímil")</f>
        <v>Abrir facsímil</v>
      </c>
      <c r="K949" s="3" t="s">
        <v>38</v>
      </c>
    </row>
    <row r="950" spans="1:11" ht="42" customHeight="1">
      <c r="A950" s="2" t="s">
        <v>2482</v>
      </c>
      <c r="B950" s="2" t="s">
        <v>2483</v>
      </c>
      <c r="C950" s="2" t="s">
        <v>913</v>
      </c>
      <c r="D950" s="2" t="s">
        <v>69</v>
      </c>
      <c r="E950" s="5">
        <v>-29785</v>
      </c>
      <c r="F950" s="3" t="s">
        <v>1031</v>
      </c>
      <c r="G950" s="3" t="s">
        <v>20</v>
      </c>
      <c r="H950" s="2" t="s">
        <v>36</v>
      </c>
      <c r="I950" s="2" t="s">
        <v>2484</v>
      </c>
      <c r="J950" s="3" t="str">
        <f>HYPERLINK("https://www.boe.es/gazeta/dias/1818/06/13/pdfs/GMD-1818-71.pdf#page=7","Abrir facsímil")</f>
        <v>Abrir facsímil</v>
      </c>
      <c r="K950" s="3" t="s">
        <v>38</v>
      </c>
    </row>
    <row r="951" spans="1:11" ht="42" customHeight="1">
      <c r="A951" s="2" t="s">
        <v>2482</v>
      </c>
      <c r="B951" s="2" t="s">
        <v>2483</v>
      </c>
      <c r="C951" s="2" t="s">
        <v>17</v>
      </c>
      <c r="D951" s="2" t="s">
        <v>18</v>
      </c>
      <c r="E951" s="5">
        <v>-29698</v>
      </c>
      <c r="F951" s="3" t="s">
        <v>148</v>
      </c>
      <c r="G951" s="3" t="s">
        <v>29</v>
      </c>
      <c r="H951" s="2" t="s">
        <v>36</v>
      </c>
      <c r="I951" s="2" t="s">
        <v>2485</v>
      </c>
      <c r="J951" s="3" t="str">
        <f>HYPERLINK("https://www.boe.es/gazeta/dias/1818/09/08/pdfs/GMD-1818-108.pdf#page=4","Abrir facsímil")</f>
        <v>Abrir facsímil</v>
      </c>
      <c r="K951" s="3" t="s">
        <v>38</v>
      </c>
    </row>
    <row r="952" spans="1:11" ht="42" customHeight="1">
      <c r="A952" s="2" t="s">
        <v>2486</v>
      </c>
      <c r="B952" s="2" t="s">
        <v>2487</v>
      </c>
      <c r="C952" s="2" t="s">
        <v>26</v>
      </c>
      <c r="D952" s="2" t="s">
        <v>27</v>
      </c>
      <c r="E952" s="5">
        <v>-29936</v>
      </c>
      <c r="F952" s="3" t="s">
        <v>398</v>
      </c>
      <c r="G952" s="3" t="s">
        <v>2488</v>
      </c>
      <c r="H952" s="2" t="s">
        <v>36</v>
      </c>
      <c r="I952" s="2" t="s">
        <v>2489</v>
      </c>
      <c r="J952" s="3" t="str">
        <f>HYPERLINK("https://www.boe.es/gazeta/dias/1818/01/13/pdfs/GMD-1818-6.pdf#page=5","Abrir facsímil")</f>
        <v>Abrir facsímil</v>
      </c>
      <c r="K952" s="3" t="s">
        <v>38</v>
      </c>
    </row>
    <row r="953" spans="1:11" ht="42" customHeight="1">
      <c r="A953" s="2" t="s">
        <v>2490</v>
      </c>
      <c r="B953" s="2" t="s">
        <v>2490</v>
      </c>
      <c r="C953" s="2" t="s">
        <v>215</v>
      </c>
      <c r="D953" s="2" t="s">
        <v>18</v>
      </c>
      <c r="E953" s="5">
        <v>-29642</v>
      </c>
      <c r="F953" s="3" t="s">
        <v>248</v>
      </c>
      <c r="G953" s="3" t="s">
        <v>49</v>
      </c>
      <c r="H953" s="2" t="s">
        <v>36</v>
      </c>
      <c r="I953" s="2" t="s">
        <v>2491</v>
      </c>
      <c r="J953" s="3" t="str">
        <f>HYPERLINK("https://www.boe.es/gazeta/dias/1818/11/03/pdfs/GMD-1818-133.pdf#page=1","Abrir facsímil")</f>
        <v>Abrir facsímil</v>
      </c>
      <c r="K953" s="3" t="s">
        <v>38</v>
      </c>
    </row>
    <row r="954" spans="1:11" ht="42" customHeight="1">
      <c r="A954" s="2" t="s">
        <v>2492</v>
      </c>
      <c r="B954" s="2" t="s">
        <v>2492</v>
      </c>
      <c r="C954" s="2" t="s">
        <v>26</v>
      </c>
      <c r="D954" s="2" t="s">
        <v>27</v>
      </c>
      <c r="E954" s="5">
        <v>-29908</v>
      </c>
      <c r="F954" s="3" t="s">
        <v>695</v>
      </c>
      <c r="G954" s="3" t="s">
        <v>85</v>
      </c>
      <c r="H954" s="2" t="s">
        <v>36</v>
      </c>
      <c r="I954" s="2" t="s">
        <v>2493</v>
      </c>
      <c r="J954" s="3" t="str">
        <f>HYPERLINK("https://www.boe.es/gazeta/dias/1818/02/10/pdfs/GMD-1818-18.pdf#page=3","Abrir facsímil")</f>
        <v>Abrir facsímil</v>
      </c>
      <c r="K954" s="3" t="s">
        <v>38</v>
      </c>
    </row>
    <row r="955" spans="1:11" ht="42" customHeight="1">
      <c r="A955" s="2" t="s">
        <v>2492</v>
      </c>
      <c r="B955" s="2" t="s">
        <v>2492</v>
      </c>
      <c r="C955" s="2" t="s">
        <v>215</v>
      </c>
      <c r="D955" s="2" t="s">
        <v>18</v>
      </c>
      <c r="E955" s="5">
        <v>-29906</v>
      </c>
      <c r="F955" s="3" t="s">
        <v>28</v>
      </c>
      <c r="G955" s="3" t="s">
        <v>85</v>
      </c>
      <c r="H955" s="2" t="s">
        <v>36</v>
      </c>
      <c r="I955" s="2" t="s">
        <v>2494</v>
      </c>
      <c r="J955" s="3" t="str">
        <f>HYPERLINK("https://www.boe.es/gazeta/dias/1818/02/12/pdfs/GMD-1818-19.pdf#page=3","Abrir facsímil")</f>
        <v>Abrir facsímil</v>
      </c>
      <c r="K955" s="3" t="s">
        <v>38</v>
      </c>
    </row>
    <row r="956" spans="1:11" ht="42" customHeight="1">
      <c r="A956" s="2" t="s">
        <v>2492</v>
      </c>
      <c r="B956" s="2" t="s">
        <v>2492</v>
      </c>
      <c r="C956" s="2" t="s">
        <v>26</v>
      </c>
      <c r="D956" s="2" t="s">
        <v>27</v>
      </c>
      <c r="E956" s="5">
        <v>-29892</v>
      </c>
      <c r="F956" s="3" t="s">
        <v>39</v>
      </c>
      <c r="G956" s="3" t="s">
        <v>120</v>
      </c>
      <c r="H956" s="2" t="s">
        <v>36</v>
      </c>
      <c r="I956" s="2" t="s">
        <v>2495</v>
      </c>
      <c r="J956" s="3" t="str">
        <f>HYPERLINK("https://www.boe.es/gazeta/dias/1818/02/26/pdfs/GMD-1818-25.pdf#page=2","Abrir facsímil")</f>
        <v>Abrir facsímil</v>
      </c>
      <c r="K956" s="3" t="s">
        <v>38</v>
      </c>
    </row>
    <row r="957" spans="1:11" ht="42" customHeight="1">
      <c r="A957" s="2" t="s">
        <v>2492</v>
      </c>
      <c r="B957" s="2" t="s">
        <v>2492</v>
      </c>
      <c r="C957" s="2" t="s">
        <v>68</v>
      </c>
      <c r="D957" s="2" t="s">
        <v>69</v>
      </c>
      <c r="E957" s="5">
        <v>-29892</v>
      </c>
      <c r="F957" s="3" t="s">
        <v>39</v>
      </c>
      <c r="G957" s="3" t="s">
        <v>85</v>
      </c>
      <c r="H957" s="2" t="s">
        <v>36</v>
      </c>
      <c r="I957" s="2" t="s">
        <v>2496</v>
      </c>
      <c r="J957" s="3" t="str">
        <f>HYPERLINK("https://www.boe.es/gazeta/dias/1818/02/26/pdfs/GMD-1818-25.pdf#page=3","Abrir facsímil")</f>
        <v>Abrir facsímil</v>
      </c>
      <c r="K957" s="3" t="s">
        <v>38</v>
      </c>
    </row>
    <row r="958" spans="1:11" ht="42" customHeight="1">
      <c r="A958" s="2" t="s">
        <v>2492</v>
      </c>
      <c r="B958" s="2" t="s">
        <v>2492</v>
      </c>
      <c r="C958" s="2" t="s">
        <v>68</v>
      </c>
      <c r="D958" s="2" t="s">
        <v>69</v>
      </c>
      <c r="E958" s="5">
        <v>-29834</v>
      </c>
      <c r="F958" s="3" t="s">
        <v>457</v>
      </c>
      <c r="G958" s="3" t="s">
        <v>29</v>
      </c>
      <c r="H958" s="2" t="s">
        <v>36</v>
      </c>
      <c r="I958" s="2" t="s">
        <v>2497</v>
      </c>
      <c r="J958" s="3" t="str">
        <f>HYPERLINK("https://www.boe.es/gazeta/dias/1818/04/25/pdfs/GMD-1818-50.pdf#page=4","Abrir facsímil")</f>
        <v>Abrir facsímil</v>
      </c>
      <c r="K958" s="3" t="s">
        <v>38</v>
      </c>
    </row>
    <row r="959" spans="1:11" ht="42" customHeight="1">
      <c r="A959" s="2" t="s">
        <v>2492</v>
      </c>
      <c r="B959" s="2" t="s">
        <v>2492</v>
      </c>
      <c r="C959" s="2" t="s">
        <v>17</v>
      </c>
      <c r="D959" s="2" t="s">
        <v>18</v>
      </c>
      <c r="E959" s="5">
        <v>-29824</v>
      </c>
      <c r="F959" s="3" t="s">
        <v>101</v>
      </c>
      <c r="G959" s="3" t="s">
        <v>106</v>
      </c>
      <c r="H959" s="2" t="s">
        <v>36</v>
      </c>
      <c r="I959" s="2" t="s">
        <v>2498</v>
      </c>
      <c r="J959" s="3" t="str">
        <f>HYPERLINK("https://www.boe.es/gazeta/dias/1818/05/05/pdfs/GMD-1818-54.pdf#page=5","Abrir facsímil")</f>
        <v>Abrir facsímil</v>
      </c>
      <c r="K959" s="3" t="s">
        <v>38</v>
      </c>
    </row>
    <row r="960" spans="1:11" ht="42" customHeight="1">
      <c r="A960" s="2" t="s">
        <v>2492</v>
      </c>
      <c r="B960" s="2" t="s">
        <v>2492</v>
      </c>
      <c r="C960" s="2" t="s">
        <v>63</v>
      </c>
      <c r="D960" s="2" t="s">
        <v>18</v>
      </c>
      <c r="E960" s="5">
        <v>-29815</v>
      </c>
      <c r="F960" s="3" t="s">
        <v>2169</v>
      </c>
      <c r="G960" s="3" t="s">
        <v>120</v>
      </c>
      <c r="H960" s="2" t="s">
        <v>36</v>
      </c>
      <c r="I960" s="2" t="s">
        <v>2499</v>
      </c>
      <c r="J960" s="3" t="str">
        <f>HYPERLINK("https://www.boe.es/gazeta/dias/1818/05/14/pdfs/GMD-1818-58.pdf#page=2","Abrir facsímil")</f>
        <v>Abrir facsímil</v>
      </c>
      <c r="K960" s="3" t="s">
        <v>38</v>
      </c>
    </row>
    <row r="961" spans="1:11" ht="42" customHeight="1">
      <c r="A961" s="2" t="s">
        <v>2492</v>
      </c>
      <c r="B961" s="2" t="s">
        <v>2492</v>
      </c>
      <c r="C961" s="2" t="s">
        <v>68</v>
      </c>
      <c r="D961" s="2" t="s">
        <v>69</v>
      </c>
      <c r="E961" s="5">
        <v>-29801</v>
      </c>
      <c r="F961" s="3" t="s">
        <v>288</v>
      </c>
      <c r="G961" s="3" t="s">
        <v>85</v>
      </c>
      <c r="H961" s="2" t="s">
        <v>36</v>
      </c>
      <c r="I961" s="2" t="s">
        <v>2500</v>
      </c>
      <c r="J961" s="3" t="str">
        <f>HYPERLINK("https://www.boe.es/gazeta/dias/1818/05/28/pdfs/GMD-1818-64.pdf#page=3","Abrir facsímil")</f>
        <v>Abrir facsímil</v>
      </c>
      <c r="K961" s="3" t="s">
        <v>38</v>
      </c>
    </row>
    <row r="962" spans="1:11" ht="42" customHeight="1">
      <c r="A962" s="2" t="s">
        <v>2492</v>
      </c>
      <c r="B962" s="2" t="s">
        <v>2492</v>
      </c>
      <c r="C962" s="2" t="s">
        <v>17</v>
      </c>
      <c r="D962" s="2" t="s">
        <v>18</v>
      </c>
      <c r="E962" s="5">
        <v>-29752</v>
      </c>
      <c r="F962" s="3" t="s">
        <v>165</v>
      </c>
      <c r="G962" s="3" t="s">
        <v>120</v>
      </c>
      <c r="H962" s="2" t="s">
        <v>36</v>
      </c>
      <c r="I962" s="2" t="s">
        <v>2501</v>
      </c>
      <c r="J962" s="3" t="str">
        <f>HYPERLINK("https://www.boe.es/gazeta/dias/1818/07/16/pdfs/GMD-1818-85.pdf#page=2","Abrir facsímil")</f>
        <v>Abrir facsímil</v>
      </c>
      <c r="K962" s="3" t="s">
        <v>38</v>
      </c>
    </row>
    <row r="963" spans="1:11" ht="42" customHeight="1">
      <c r="A963" s="2" t="s">
        <v>2492</v>
      </c>
      <c r="B963" s="2" t="s">
        <v>2492</v>
      </c>
      <c r="C963" s="2" t="s">
        <v>17</v>
      </c>
      <c r="D963" s="2" t="s">
        <v>18</v>
      </c>
      <c r="E963" s="5">
        <v>-29710</v>
      </c>
      <c r="F963" s="3" t="s">
        <v>1026</v>
      </c>
      <c r="G963" s="3" t="s">
        <v>29</v>
      </c>
      <c r="H963" s="2" t="s">
        <v>36</v>
      </c>
      <c r="I963" s="2" t="s">
        <v>2502</v>
      </c>
      <c r="J963" s="3" t="str">
        <f>HYPERLINK("https://www.boe.es/gazeta/dias/1818/08/27/pdfs/GMD-1818-103.pdf#page=4","Abrir facsímil")</f>
        <v>Abrir facsímil</v>
      </c>
      <c r="K963" s="3" t="s">
        <v>38</v>
      </c>
    </row>
    <row r="964" spans="1:11" ht="42" customHeight="1">
      <c r="A964" s="2" t="s">
        <v>2492</v>
      </c>
      <c r="B964" s="2" t="s">
        <v>2492</v>
      </c>
      <c r="C964" s="2" t="s">
        <v>17</v>
      </c>
      <c r="D964" s="2" t="s">
        <v>18</v>
      </c>
      <c r="E964" s="5">
        <v>-29696</v>
      </c>
      <c r="F964" s="3" t="s">
        <v>1716</v>
      </c>
      <c r="G964" s="3" t="s">
        <v>85</v>
      </c>
      <c r="H964" s="2" t="s">
        <v>36</v>
      </c>
      <c r="I964" s="2" t="s">
        <v>2503</v>
      </c>
      <c r="J964" s="3" t="str">
        <f>HYPERLINK("https://www.boe.es/gazeta/dias/1818/09/10/pdfs/GMD-1818-109.pdf#page=3","Abrir facsímil")</f>
        <v>Abrir facsímil</v>
      </c>
      <c r="K964" s="3" t="s">
        <v>38</v>
      </c>
    </row>
    <row r="965" spans="1:11" ht="42" customHeight="1">
      <c r="A965" s="2" t="s">
        <v>2492</v>
      </c>
      <c r="B965" s="2" t="s">
        <v>2492</v>
      </c>
      <c r="C965" s="2" t="s">
        <v>26</v>
      </c>
      <c r="D965" s="2" t="s">
        <v>27</v>
      </c>
      <c r="E965" s="5">
        <v>-29694</v>
      </c>
      <c r="F965" s="3" t="s">
        <v>528</v>
      </c>
      <c r="G965" s="3" t="s">
        <v>85</v>
      </c>
      <c r="H965" s="2" t="s">
        <v>36</v>
      </c>
      <c r="I965" s="2" t="s">
        <v>2504</v>
      </c>
      <c r="J965" s="3" t="str">
        <f>HYPERLINK("https://www.boe.es/gazeta/dias/1818/09/12/pdfs/GMD-1818-110.pdf#page=3","Abrir facsímil")</f>
        <v>Abrir facsímil</v>
      </c>
      <c r="K965" s="3" t="s">
        <v>38</v>
      </c>
    </row>
    <row r="966" spans="1:11" ht="42" customHeight="1">
      <c r="A966" s="2" t="s">
        <v>2492</v>
      </c>
      <c r="B966" s="2" t="s">
        <v>2492</v>
      </c>
      <c r="C966" s="2" t="s">
        <v>17</v>
      </c>
      <c r="D966" s="2" t="s">
        <v>18</v>
      </c>
      <c r="E966" s="5">
        <v>-29684</v>
      </c>
      <c r="F966" s="3" t="s">
        <v>311</v>
      </c>
      <c r="G966" s="3" t="s">
        <v>29</v>
      </c>
      <c r="H966" s="2" t="s">
        <v>36</v>
      </c>
      <c r="I966" s="2" t="s">
        <v>2505</v>
      </c>
      <c r="J966" s="3" t="str">
        <f>HYPERLINK("https://www.boe.es/gazeta/dias/1818/09/22/pdfs/GMD-1818-114.pdf#page=4","Abrir facsímil")</f>
        <v>Abrir facsímil</v>
      </c>
      <c r="K966" s="3" t="s">
        <v>38</v>
      </c>
    </row>
    <row r="967" spans="1:11" ht="42" customHeight="1">
      <c r="A967" s="2" t="s">
        <v>2492</v>
      </c>
      <c r="B967" s="2" t="s">
        <v>2492</v>
      </c>
      <c r="C967" s="2" t="s">
        <v>26</v>
      </c>
      <c r="D967" s="2" t="s">
        <v>27</v>
      </c>
      <c r="E967" s="5">
        <v>-29670</v>
      </c>
      <c r="F967" s="3" t="s">
        <v>48</v>
      </c>
      <c r="G967" s="3" t="s">
        <v>29</v>
      </c>
      <c r="H967" s="2" t="s">
        <v>36</v>
      </c>
      <c r="I967" s="2" t="s">
        <v>2506</v>
      </c>
      <c r="J967" s="3" t="str">
        <f>HYPERLINK("https://www.boe.es/gazeta/dias/1818/10/06/pdfs/GMD-1818-120.pdf#page=4","Abrir facsímil")</f>
        <v>Abrir facsímil</v>
      </c>
      <c r="K967" s="3" t="s">
        <v>38</v>
      </c>
    </row>
    <row r="968" spans="1:11" ht="42" customHeight="1">
      <c r="A968" s="2" t="s">
        <v>2492</v>
      </c>
      <c r="B968" s="2" t="s">
        <v>2492</v>
      </c>
      <c r="C968" s="2" t="s">
        <v>17</v>
      </c>
      <c r="D968" s="2" t="s">
        <v>18</v>
      </c>
      <c r="E968" s="5">
        <v>-29668</v>
      </c>
      <c r="F968" s="3" t="s">
        <v>2219</v>
      </c>
      <c r="G968" s="3" t="s">
        <v>85</v>
      </c>
      <c r="H968" s="2" t="s">
        <v>36</v>
      </c>
      <c r="I968" s="2" t="s">
        <v>2507</v>
      </c>
      <c r="J968" s="3" t="str">
        <f>HYPERLINK("https://www.boe.es/gazeta/dias/1818/10/08/pdfs/GMD-1818-121.pdf#page=3","Abrir facsímil")</f>
        <v>Abrir facsímil</v>
      </c>
      <c r="K968" s="3" t="s">
        <v>38</v>
      </c>
    </row>
    <row r="969" spans="1:11" ht="42" customHeight="1">
      <c r="A969" s="2" t="s">
        <v>2492</v>
      </c>
      <c r="B969" s="2" t="s">
        <v>2492</v>
      </c>
      <c r="C969" s="2" t="s">
        <v>68</v>
      </c>
      <c r="D969" s="2" t="s">
        <v>69</v>
      </c>
      <c r="E969" s="5">
        <v>-29654</v>
      </c>
      <c r="F969" s="3" t="s">
        <v>219</v>
      </c>
      <c r="G969" s="3" t="s">
        <v>120</v>
      </c>
      <c r="H969" s="2" t="s">
        <v>36</v>
      </c>
      <c r="I969" s="2" t="s">
        <v>2508</v>
      </c>
      <c r="J969" s="3" t="str">
        <f>HYPERLINK("https://www.boe.es/gazeta/dias/1818/10/22/pdfs/GMD-1818-128.pdf#page=2","Abrir facsímil")</f>
        <v>Abrir facsímil</v>
      </c>
      <c r="K969" s="3" t="s">
        <v>38</v>
      </c>
    </row>
    <row r="970" spans="1:11" ht="42" customHeight="1">
      <c r="A970" s="2" t="s">
        <v>2492</v>
      </c>
      <c r="B970" s="2" t="s">
        <v>2492</v>
      </c>
      <c r="C970" s="2" t="s">
        <v>215</v>
      </c>
      <c r="D970" s="2" t="s">
        <v>18</v>
      </c>
      <c r="E970" s="5">
        <v>-29652</v>
      </c>
      <c r="F970" s="3" t="s">
        <v>741</v>
      </c>
      <c r="G970" s="3" t="s">
        <v>120</v>
      </c>
      <c r="H970" s="2" t="s">
        <v>36</v>
      </c>
      <c r="I970" s="2" t="s">
        <v>2509</v>
      </c>
      <c r="J970" s="3" t="str">
        <f>HYPERLINK("https://www.boe.es/gazeta/dias/1818/10/24/pdfs/GMD-1818-129.pdf#page=2","Abrir facsímil")</f>
        <v>Abrir facsímil</v>
      </c>
      <c r="K970" s="3" t="s">
        <v>38</v>
      </c>
    </row>
    <row r="971" spans="1:11" ht="42" customHeight="1">
      <c r="A971" s="2" t="s">
        <v>2492</v>
      </c>
      <c r="B971" s="2" t="s">
        <v>2492</v>
      </c>
      <c r="C971" s="2" t="s">
        <v>26</v>
      </c>
      <c r="D971" s="2" t="s">
        <v>27</v>
      </c>
      <c r="E971" s="5">
        <v>-29647</v>
      </c>
      <c r="F971" s="3" t="s">
        <v>1547</v>
      </c>
      <c r="G971" s="3" t="s">
        <v>120</v>
      </c>
      <c r="H971" s="2" t="s">
        <v>36</v>
      </c>
      <c r="I971" s="2" t="s">
        <v>2510</v>
      </c>
      <c r="J971" s="3" t="str">
        <f>HYPERLINK("https://www.boe.es/gazeta/dias/1818/10/29/pdfs/GMD-1818-131.pdf#page=2","Abrir facsímil")</f>
        <v>Abrir facsímil</v>
      </c>
      <c r="K971" s="3" t="s">
        <v>38</v>
      </c>
    </row>
    <row r="972" spans="1:11" ht="42" customHeight="1">
      <c r="A972" s="2" t="s">
        <v>2492</v>
      </c>
      <c r="B972" s="2" t="s">
        <v>2492</v>
      </c>
      <c r="C972" s="2" t="s">
        <v>17</v>
      </c>
      <c r="D972" s="2" t="s">
        <v>18</v>
      </c>
      <c r="E972" s="5">
        <v>-29638</v>
      </c>
      <c r="F972" s="3" t="s">
        <v>307</v>
      </c>
      <c r="G972" s="3" t="s">
        <v>120</v>
      </c>
      <c r="H972" s="2" t="s">
        <v>36</v>
      </c>
      <c r="I972" s="2" t="s">
        <v>2511</v>
      </c>
      <c r="J972" s="3" t="str">
        <f>HYPERLINK("https://www.boe.es/gazeta/dias/1818/11/07/pdfs/GMD-1818-135.pdf#page=2","Abrir facsímil")</f>
        <v>Abrir facsímil</v>
      </c>
      <c r="K972" s="3" t="s">
        <v>38</v>
      </c>
    </row>
    <row r="973" spans="1:11" ht="42" customHeight="1">
      <c r="A973" s="2" t="s">
        <v>2492</v>
      </c>
      <c r="B973" s="2" t="s">
        <v>2492</v>
      </c>
      <c r="C973" s="2" t="s">
        <v>17</v>
      </c>
      <c r="D973" s="2" t="s">
        <v>18</v>
      </c>
      <c r="E973" s="5">
        <v>-29633</v>
      </c>
      <c r="F973" s="3" t="s">
        <v>2162</v>
      </c>
      <c r="G973" s="3" t="s">
        <v>49</v>
      </c>
      <c r="H973" s="2" t="s">
        <v>36</v>
      </c>
      <c r="I973" s="2" t="s">
        <v>2512</v>
      </c>
      <c r="J973" s="3" t="str">
        <f>HYPERLINK("https://www.boe.es/gazeta/dias/1818/11/12/pdfs/GMD-1818-137.pdf#page=1","Abrir facsímil")</f>
        <v>Abrir facsímil</v>
      </c>
      <c r="K973" s="3" t="s">
        <v>38</v>
      </c>
    </row>
    <row r="974" spans="1:11" ht="42" customHeight="1">
      <c r="A974" s="2" t="s">
        <v>2492</v>
      </c>
      <c r="B974" s="2" t="s">
        <v>2492</v>
      </c>
      <c r="C974" s="2" t="s">
        <v>68</v>
      </c>
      <c r="D974" s="2" t="s">
        <v>69</v>
      </c>
      <c r="E974" s="5">
        <v>-29614</v>
      </c>
      <c r="F974" s="3" t="s">
        <v>620</v>
      </c>
      <c r="G974" s="3" t="s">
        <v>49</v>
      </c>
      <c r="H974" s="2" t="s">
        <v>36</v>
      </c>
      <c r="I974" s="2" t="s">
        <v>2513</v>
      </c>
      <c r="J974" s="3" t="str">
        <f>HYPERLINK("https://www.boe.es/gazeta/dias/1818/12/01/pdfs/GMD-1818-145.pdf#page=1","Abrir facsímil")</f>
        <v>Abrir facsímil</v>
      </c>
      <c r="K974" s="3" t="s">
        <v>38</v>
      </c>
    </row>
    <row r="975" spans="1:11" ht="42" customHeight="1">
      <c r="A975" s="2" t="s">
        <v>2492</v>
      </c>
      <c r="B975" s="2" t="s">
        <v>2492</v>
      </c>
      <c r="C975" s="2" t="s">
        <v>26</v>
      </c>
      <c r="D975" s="2" t="s">
        <v>27</v>
      </c>
      <c r="E975" s="5">
        <v>-29603</v>
      </c>
      <c r="F975" s="3" t="s">
        <v>647</v>
      </c>
      <c r="G975" s="3" t="s">
        <v>120</v>
      </c>
      <c r="H975" s="2" t="s">
        <v>36</v>
      </c>
      <c r="I975" s="2" t="s">
        <v>2514</v>
      </c>
      <c r="J975" s="3" t="str">
        <f>HYPERLINK("https://www.boe.es/gazeta/dias/1818/12/12/pdfs/GMD-1818-150.pdf#page=2","Abrir facsímil")</f>
        <v>Abrir facsímil</v>
      </c>
      <c r="K975" s="3" t="s">
        <v>38</v>
      </c>
    </row>
    <row r="976" spans="1:11" ht="42" customHeight="1">
      <c r="A976" s="2" t="s">
        <v>2492</v>
      </c>
      <c r="B976" s="2" t="s">
        <v>2492</v>
      </c>
      <c r="C976" s="2" t="s">
        <v>68</v>
      </c>
      <c r="D976" s="2" t="s">
        <v>69</v>
      </c>
      <c r="E976" s="5">
        <v>-29600</v>
      </c>
      <c r="F976" s="3" t="s">
        <v>697</v>
      </c>
      <c r="G976" s="3" t="s">
        <v>1752</v>
      </c>
      <c r="H976" s="2" t="s">
        <v>36</v>
      </c>
      <c r="I976" s="2" t="s">
        <v>2515</v>
      </c>
      <c r="J976" s="3" t="str">
        <f>HYPERLINK("https://www.boe.es/gazeta/dias/1818/12/15/pdfs/GMD-1818-151.pdf#page=2","Abrir facsímil")</f>
        <v>Abrir facsímil</v>
      </c>
      <c r="K976" s="3" t="s">
        <v>38</v>
      </c>
    </row>
    <row r="977" spans="1:11" ht="42" customHeight="1">
      <c r="A977" s="2" t="s">
        <v>2516</v>
      </c>
      <c r="B977" s="2" t="s">
        <v>2516</v>
      </c>
      <c r="C977" s="2" t="s">
        <v>26</v>
      </c>
      <c r="D977" s="2" t="s">
        <v>27</v>
      </c>
      <c r="E977" s="5">
        <v>-29593</v>
      </c>
      <c r="F977" s="3" t="s">
        <v>185</v>
      </c>
      <c r="G977" s="3" t="s">
        <v>85</v>
      </c>
      <c r="H977" s="2" t="s">
        <v>36</v>
      </c>
      <c r="I977" s="2" t="s">
        <v>2517</v>
      </c>
      <c r="J977" s="3" t="str">
        <f>HYPERLINK("https://www.boe.es/gazeta/dias/1818/12/22/pdfs/GMD-1818-154.pdf#page=3","Abrir facsímil")</f>
        <v>Abrir facsímil</v>
      </c>
      <c r="K977" s="3" t="s">
        <v>38</v>
      </c>
    </row>
    <row r="978" spans="1:11" ht="42" customHeight="1">
      <c r="A978" s="2" t="s">
        <v>2518</v>
      </c>
      <c r="B978" s="2" t="s">
        <v>2518</v>
      </c>
      <c r="C978" s="2" t="s">
        <v>215</v>
      </c>
      <c r="D978" s="2" t="s">
        <v>18</v>
      </c>
      <c r="E978" s="5">
        <v>-29696</v>
      </c>
      <c r="F978" s="3" t="s">
        <v>1716</v>
      </c>
      <c r="G978" s="3" t="s">
        <v>49</v>
      </c>
      <c r="H978" s="2" t="s">
        <v>36</v>
      </c>
      <c r="I978" s="2" t="s">
        <v>2519</v>
      </c>
      <c r="J978" s="3" t="str">
        <f>HYPERLINK("https://www.boe.es/gazeta/dias/1818/09/10/pdfs/GMD-1818-109.pdf#page=1","Abrir facsímil")</f>
        <v>Abrir facsímil</v>
      </c>
      <c r="K978" s="3" t="s">
        <v>38</v>
      </c>
    </row>
    <row r="979" spans="1:11" ht="42" customHeight="1">
      <c r="A979" s="2" t="s">
        <v>2520</v>
      </c>
      <c r="B979" s="2" t="s">
        <v>2520</v>
      </c>
      <c r="C979" s="2" t="s">
        <v>17</v>
      </c>
      <c r="D979" s="2" t="s">
        <v>18</v>
      </c>
      <c r="E979" s="5">
        <v>-29831</v>
      </c>
      <c r="F979" s="3" t="s">
        <v>567</v>
      </c>
      <c r="G979" s="3" t="s">
        <v>20</v>
      </c>
      <c r="H979" s="2" t="s">
        <v>36</v>
      </c>
      <c r="I979" s="2" t="s">
        <v>2521</v>
      </c>
      <c r="J979" s="3" t="str">
        <f>HYPERLINK("https://www.boe.es/gazeta/dias/1818/04/28/pdfs/GMD-1818-51.pdf#page=7","Abrir facsímil")</f>
        <v>Abrir facsímil</v>
      </c>
      <c r="K979" s="3" t="s">
        <v>38</v>
      </c>
    </row>
    <row r="980" spans="1:11" ht="42" customHeight="1">
      <c r="A980" s="2" t="s">
        <v>2522</v>
      </c>
      <c r="B980" s="2" t="s">
        <v>2523</v>
      </c>
      <c r="C980" s="2" t="s">
        <v>57</v>
      </c>
      <c r="D980" s="2" t="s">
        <v>18</v>
      </c>
      <c r="E980" s="5">
        <v>-29736</v>
      </c>
      <c r="F980" s="3" t="s">
        <v>581</v>
      </c>
      <c r="G980" s="3" t="s">
        <v>20</v>
      </c>
      <c r="H980" s="2" t="s">
        <v>36</v>
      </c>
      <c r="I980" s="2" t="s">
        <v>2524</v>
      </c>
      <c r="J980" s="3" t="str">
        <f>HYPERLINK("https://www.boe.es/gazeta/dias/1818/08/01/pdfs/GMD-1818-92.pdf#page=7","Abrir facsímil")</f>
        <v>Abrir facsímil</v>
      </c>
      <c r="K980" s="3" t="s">
        <v>38</v>
      </c>
    </row>
    <row r="981" spans="1:11" ht="42" customHeight="1">
      <c r="A981" s="2" t="s">
        <v>2525</v>
      </c>
      <c r="B981" s="2" t="s">
        <v>2526</v>
      </c>
      <c r="C981" s="2" t="s">
        <v>68</v>
      </c>
      <c r="D981" s="2" t="s">
        <v>69</v>
      </c>
      <c r="E981" s="5">
        <v>-29752</v>
      </c>
      <c r="F981" s="3" t="s">
        <v>165</v>
      </c>
      <c r="G981" s="3" t="s">
        <v>59</v>
      </c>
      <c r="H981" s="2" t="s">
        <v>36</v>
      </c>
      <c r="I981" s="2" t="s">
        <v>2527</v>
      </c>
      <c r="J981" s="3" t="str">
        <f>HYPERLINK("https://www.boe.es/gazeta/dias/1818/07/16/pdfs/GMD-1818-85.pdf#page=6","Abrir facsímil")</f>
        <v>Abrir facsímil</v>
      </c>
      <c r="K981" s="3" t="s">
        <v>38</v>
      </c>
    </row>
    <row r="982" spans="1:11" ht="42" customHeight="1">
      <c r="A982" s="2" t="s">
        <v>2525</v>
      </c>
      <c r="B982" s="2" t="s">
        <v>2526</v>
      </c>
      <c r="C982" s="2" t="s">
        <v>26</v>
      </c>
      <c r="D982" s="2" t="s">
        <v>27</v>
      </c>
      <c r="E982" s="5">
        <v>-29624</v>
      </c>
      <c r="F982" s="3" t="s">
        <v>131</v>
      </c>
      <c r="G982" s="3" t="s">
        <v>106</v>
      </c>
      <c r="H982" s="2" t="s">
        <v>36</v>
      </c>
      <c r="I982" s="2" t="s">
        <v>2528</v>
      </c>
      <c r="J982" s="3" t="str">
        <f>HYPERLINK("https://www.boe.es/gazeta/dias/1818/11/21/pdfs/GMD-1818-141.pdf#page=5","Abrir facsímil")</f>
        <v>Abrir facsímil</v>
      </c>
      <c r="K982" s="3" t="s">
        <v>38</v>
      </c>
    </row>
    <row r="983" spans="1:11" ht="42" customHeight="1">
      <c r="A983" s="2" t="s">
        <v>2525</v>
      </c>
      <c r="B983" s="2" t="s">
        <v>2526</v>
      </c>
      <c r="C983" s="2" t="s">
        <v>17</v>
      </c>
      <c r="D983" s="2" t="s">
        <v>18</v>
      </c>
      <c r="E983" s="5">
        <v>-29619</v>
      </c>
      <c r="F983" s="3" t="s">
        <v>64</v>
      </c>
      <c r="G983" s="3" t="s">
        <v>59</v>
      </c>
      <c r="H983" s="2" t="s">
        <v>36</v>
      </c>
      <c r="I983" s="2" t="s">
        <v>2529</v>
      </c>
      <c r="J983" s="3" t="str">
        <f>HYPERLINK("https://www.boe.es/gazeta/dias/1818/11/26/pdfs/GMD-1818-143.pdf#page=6","Abrir facsímil")</f>
        <v>Abrir facsímil</v>
      </c>
      <c r="K983" s="3" t="s">
        <v>38</v>
      </c>
    </row>
    <row r="984" spans="1:11" ht="42" customHeight="1">
      <c r="A984" s="2" t="s">
        <v>2530</v>
      </c>
      <c r="B984" s="2" t="s">
        <v>2531</v>
      </c>
      <c r="C984" s="2" t="s">
        <v>17</v>
      </c>
      <c r="D984" s="2" t="s">
        <v>18</v>
      </c>
      <c r="E984" s="5">
        <v>-29631</v>
      </c>
      <c r="F984" s="3" t="s">
        <v>743</v>
      </c>
      <c r="G984" s="3" t="s">
        <v>106</v>
      </c>
      <c r="H984" s="2" t="s">
        <v>36</v>
      </c>
      <c r="I984" s="2" t="s">
        <v>2532</v>
      </c>
      <c r="J984" s="3" t="str">
        <f>HYPERLINK("https://www.boe.es/gazeta/dias/1818/11/14/pdfs/GMD-1818-138.pdf#page=5","Abrir facsímil")</f>
        <v>Abrir facsímil</v>
      </c>
      <c r="K984" s="3" t="s">
        <v>38</v>
      </c>
    </row>
    <row r="985" spans="1:11" ht="42" customHeight="1">
      <c r="A985" s="2" t="s">
        <v>2533</v>
      </c>
      <c r="B985" s="2" t="s">
        <v>2534</v>
      </c>
      <c r="C985" s="2" t="s">
        <v>17</v>
      </c>
      <c r="D985" s="2" t="s">
        <v>18</v>
      </c>
      <c r="E985" s="5">
        <v>-29764</v>
      </c>
      <c r="F985" s="3" t="s">
        <v>464</v>
      </c>
      <c r="G985" s="3" t="s">
        <v>20</v>
      </c>
      <c r="H985" s="2" t="s">
        <v>36</v>
      </c>
      <c r="I985" s="2" t="s">
        <v>2535</v>
      </c>
      <c r="J985" s="3" t="str">
        <f>HYPERLINK("https://www.boe.es/gazeta/dias/1818/07/04/pdfs/GMD-1818-80.pdf#page=7","Abrir facsímil")</f>
        <v>Abrir facsímil</v>
      </c>
      <c r="K985" s="3" t="s">
        <v>38</v>
      </c>
    </row>
    <row r="986" spans="1:11" ht="42" customHeight="1">
      <c r="A986" s="2" t="s">
        <v>2533</v>
      </c>
      <c r="B986" s="2" t="s">
        <v>2534</v>
      </c>
      <c r="C986" s="2" t="s">
        <v>26</v>
      </c>
      <c r="D986" s="2" t="s">
        <v>27</v>
      </c>
      <c r="E986" s="5">
        <v>-29722</v>
      </c>
      <c r="F986" s="3" t="s">
        <v>1127</v>
      </c>
      <c r="G986" s="3" t="s">
        <v>45</v>
      </c>
      <c r="H986" s="2" t="s">
        <v>36</v>
      </c>
      <c r="I986" s="2" t="s">
        <v>2536</v>
      </c>
      <c r="J986" s="3" t="str">
        <f>HYPERLINK("https://www.boe.es/gazeta/dias/1818/08/15/pdfs/GMD-1818-98.pdf#page=8","Abrir facsímil")</f>
        <v>Abrir facsímil</v>
      </c>
      <c r="K986" s="3" t="s">
        <v>38</v>
      </c>
    </row>
    <row r="987" spans="1:11" ht="42" customHeight="1">
      <c r="A987" s="2" t="s">
        <v>2537</v>
      </c>
      <c r="B987" s="2" t="s">
        <v>2538</v>
      </c>
      <c r="C987" s="2" t="s">
        <v>26</v>
      </c>
      <c r="D987" s="2" t="s">
        <v>27</v>
      </c>
      <c r="E987" s="5">
        <v>-29626</v>
      </c>
      <c r="F987" s="3" t="s">
        <v>496</v>
      </c>
      <c r="G987" s="3" t="s">
        <v>882</v>
      </c>
      <c r="H987" s="2" t="s">
        <v>36</v>
      </c>
      <c r="I987" s="2" t="s">
        <v>2539</v>
      </c>
      <c r="J987" s="3" t="str">
        <f>HYPERLINK("https://www.boe.es/gazeta/dias/1818/11/19/pdfs/GMD-1818-140.pdf#page=4","Abrir facsímil")</f>
        <v>Abrir facsímil</v>
      </c>
      <c r="K987" s="3" t="s">
        <v>38</v>
      </c>
    </row>
    <row r="988" spans="1:11" ht="42" customHeight="1">
      <c r="A988" s="2" t="s">
        <v>2540</v>
      </c>
      <c r="B988" s="2" t="s">
        <v>2541</v>
      </c>
      <c r="C988" s="2" t="s">
        <v>68</v>
      </c>
      <c r="D988" s="2" t="s">
        <v>69</v>
      </c>
      <c r="E988" s="5">
        <v>-29866</v>
      </c>
      <c r="F988" s="3" t="s">
        <v>828</v>
      </c>
      <c r="G988" s="3" t="s">
        <v>106</v>
      </c>
      <c r="H988" s="2" t="s">
        <v>36</v>
      </c>
      <c r="I988" s="2" t="s">
        <v>2542</v>
      </c>
      <c r="J988" s="3" t="str">
        <f>HYPERLINK("https://www.boe.es/gazeta/dias/1818/03/24/pdfs/GMD-1818-36.pdf#page=5","Abrir facsímil")</f>
        <v>Abrir facsímil</v>
      </c>
      <c r="K988" s="3" t="s">
        <v>38</v>
      </c>
    </row>
    <row r="989" spans="1:11" ht="42" customHeight="1">
      <c r="A989" s="2" t="s">
        <v>2540</v>
      </c>
      <c r="B989" s="2" t="s">
        <v>2541</v>
      </c>
      <c r="C989" s="2" t="s">
        <v>26</v>
      </c>
      <c r="D989" s="2" t="s">
        <v>27</v>
      </c>
      <c r="E989" s="5">
        <v>-29666</v>
      </c>
      <c r="F989" s="3" t="s">
        <v>258</v>
      </c>
      <c r="G989" s="3" t="s">
        <v>106</v>
      </c>
      <c r="H989" s="2" t="s">
        <v>36</v>
      </c>
      <c r="I989" s="2" t="s">
        <v>2543</v>
      </c>
      <c r="J989" s="3" t="str">
        <f>HYPERLINK("https://www.boe.es/gazeta/dias/1818/10/10/pdfs/GMD-1818-122.pdf#page=5","Abrir facsímil")</f>
        <v>Abrir facsímil</v>
      </c>
      <c r="K989" s="3" t="s">
        <v>38</v>
      </c>
    </row>
    <row r="990" spans="1:11" ht="42" customHeight="1">
      <c r="A990" s="2" t="s">
        <v>2540</v>
      </c>
      <c r="B990" s="2" t="s">
        <v>2541</v>
      </c>
      <c r="C990" s="2" t="s">
        <v>26</v>
      </c>
      <c r="D990" s="2" t="s">
        <v>27</v>
      </c>
      <c r="E990" s="5">
        <v>-29666</v>
      </c>
      <c r="F990" s="3" t="s">
        <v>258</v>
      </c>
      <c r="G990" s="3" t="s">
        <v>59</v>
      </c>
      <c r="H990" s="2" t="s">
        <v>36</v>
      </c>
      <c r="I990" s="2" t="s">
        <v>2544</v>
      </c>
      <c r="J990" s="3" t="str">
        <f>HYPERLINK("https://www.boe.es/gazeta/dias/1818/10/10/pdfs/GMD-1818-122.pdf#page=6","Abrir facsímil")</f>
        <v>Abrir facsímil</v>
      </c>
      <c r="K990" s="3" t="s">
        <v>38</v>
      </c>
    </row>
    <row r="991" spans="1:11" ht="42" customHeight="1">
      <c r="A991" s="2" t="s">
        <v>2540</v>
      </c>
      <c r="B991" s="2" t="s">
        <v>2541</v>
      </c>
      <c r="C991" s="2" t="s">
        <v>26</v>
      </c>
      <c r="D991" s="2" t="s">
        <v>27</v>
      </c>
      <c r="E991" s="5">
        <v>-29593</v>
      </c>
      <c r="F991" s="3" t="s">
        <v>185</v>
      </c>
      <c r="G991" s="3" t="s">
        <v>59</v>
      </c>
      <c r="H991" s="2" t="s">
        <v>36</v>
      </c>
      <c r="I991" s="2" t="s">
        <v>2545</v>
      </c>
      <c r="J991" s="3" t="str">
        <f>HYPERLINK("https://www.boe.es/gazeta/dias/1818/12/22/pdfs/GMD-1818-154.pdf#page=6","Abrir facsímil")</f>
        <v>Abrir facsímil</v>
      </c>
      <c r="K991" s="3" t="s">
        <v>38</v>
      </c>
    </row>
    <row r="992" spans="1:11" ht="42" customHeight="1">
      <c r="A992" s="2" t="s">
        <v>2546</v>
      </c>
      <c r="B992" s="2" t="s">
        <v>2547</v>
      </c>
      <c r="C992" s="2" t="s">
        <v>68</v>
      </c>
      <c r="D992" s="2" t="s">
        <v>69</v>
      </c>
      <c r="E992" s="5">
        <v>-29948</v>
      </c>
      <c r="F992" s="3" t="s">
        <v>199</v>
      </c>
      <c r="G992" s="3" t="s">
        <v>20</v>
      </c>
      <c r="H992" s="2" t="s">
        <v>36</v>
      </c>
      <c r="I992" s="2" t="s">
        <v>2548</v>
      </c>
      <c r="J992" s="3" t="str">
        <f>HYPERLINK("https://www.boe.es/gazeta/dias/1818/01/01/pdfs/GMD-1818-1.pdf#page=7","Abrir facsímil")</f>
        <v>Abrir facsímil</v>
      </c>
      <c r="K992" s="3" t="s">
        <v>38</v>
      </c>
    </row>
    <row r="993" spans="1:11" ht="42" customHeight="1">
      <c r="A993" s="2" t="s">
        <v>2549</v>
      </c>
      <c r="B993" s="2" t="s">
        <v>2550</v>
      </c>
      <c r="C993" s="2" t="s">
        <v>68</v>
      </c>
      <c r="D993" s="2" t="s">
        <v>69</v>
      </c>
      <c r="E993" s="5">
        <v>-29927</v>
      </c>
      <c r="F993" s="3" t="s">
        <v>1381</v>
      </c>
      <c r="G993" s="3" t="s">
        <v>45</v>
      </c>
      <c r="H993" s="2" t="s">
        <v>36</v>
      </c>
      <c r="I993" s="2" t="s">
        <v>2551</v>
      </c>
      <c r="J993" s="3" t="str">
        <f>HYPERLINK("https://www.boe.es/gazeta/dias/1818/01/22/pdfs/GMD-1818-10.pdf#page=8","Abrir facsímil")</f>
        <v>Abrir facsímil</v>
      </c>
      <c r="K993" s="3" t="s">
        <v>38</v>
      </c>
    </row>
    <row r="994" spans="1:11" ht="42" customHeight="1">
      <c r="A994" s="2" t="s">
        <v>2549</v>
      </c>
      <c r="B994" s="2" t="s">
        <v>2550</v>
      </c>
      <c r="C994" s="2" t="s">
        <v>68</v>
      </c>
      <c r="D994" s="2" t="s">
        <v>69</v>
      </c>
      <c r="E994" s="5">
        <v>-29908</v>
      </c>
      <c r="F994" s="3" t="s">
        <v>695</v>
      </c>
      <c r="G994" s="3" t="s">
        <v>20</v>
      </c>
      <c r="H994" s="2" t="s">
        <v>36</v>
      </c>
      <c r="I994" s="2" t="s">
        <v>2552</v>
      </c>
      <c r="J994" s="3" t="str">
        <f>HYPERLINK("https://www.boe.es/gazeta/dias/1818/02/10/pdfs/GMD-1818-18.pdf#page=7","Abrir facsímil")</f>
        <v>Abrir facsímil</v>
      </c>
      <c r="K994" s="3" t="s">
        <v>38</v>
      </c>
    </row>
    <row r="995" spans="1:11" ht="42" customHeight="1">
      <c r="A995" s="2" t="s">
        <v>2549</v>
      </c>
      <c r="B995" s="2" t="s">
        <v>2550</v>
      </c>
      <c r="C995" s="2" t="s">
        <v>68</v>
      </c>
      <c r="D995" s="2" t="s">
        <v>69</v>
      </c>
      <c r="E995" s="5">
        <v>-29899</v>
      </c>
      <c r="F995" s="3" t="s">
        <v>232</v>
      </c>
      <c r="G995" s="3" t="s">
        <v>45</v>
      </c>
      <c r="H995" s="2" t="s">
        <v>36</v>
      </c>
      <c r="I995" s="2" t="s">
        <v>2553</v>
      </c>
      <c r="J995" s="3" t="str">
        <f>HYPERLINK("https://www.boe.es/gazeta/dias/1818/02/19/pdfs/GMD-1818-22.pdf#page=8","Abrir facsímil")</f>
        <v>Abrir facsímil</v>
      </c>
      <c r="K995" s="3" t="s">
        <v>38</v>
      </c>
    </row>
    <row r="996" spans="1:11" ht="42" customHeight="1">
      <c r="A996" s="2" t="s">
        <v>2549</v>
      </c>
      <c r="B996" s="2" t="s">
        <v>2550</v>
      </c>
      <c r="C996" s="2" t="s">
        <v>68</v>
      </c>
      <c r="D996" s="2" t="s">
        <v>69</v>
      </c>
      <c r="E996" s="5">
        <v>-29887</v>
      </c>
      <c r="F996" s="3" t="s">
        <v>613</v>
      </c>
      <c r="G996" s="3" t="s">
        <v>2554</v>
      </c>
      <c r="H996" s="2" t="s">
        <v>36</v>
      </c>
      <c r="I996" s="2" t="s">
        <v>2555</v>
      </c>
      <c r="J996" s="3" t="str">
        <f>HYPERLINK("https://www.boe.es/gazeta/dias/1818/03/03/pdfs/GMD-1818-27.pdf#page=8","Abrir facsímil")</f>
        <v>Abrir facsímil</v>
      </c>
      <c r="K996" s="3" t="s">
        <v>38</v>
      </c>
    </row>
    <row r="997" spans="1:11" ht="42" customHeight="1">
      <c r="A997" s="2" t="s">
        <v>2549</v>
      </c>
      <c r="B997" s="2" t="s">
        <v>2550</v>
      </c>
      <c r="C997" s="2" t="s">
        <v>68</v>
      </c>
      <c r="D997" s="2" t="s">
        <v>69</v>
      </c>
      <c r="E997" s="5">
        <v>-29808</v>
      </c>
      <c r="F997" s="3" t="s">
        <v>80</v>
      </c>
      <c r="G997" s="3" t="s">
        <v>2556</v>
      </c>
      <c r="H997" s="2" t="s">
        <v>36</v>
      </c>
      <c r="I997" s="2" t="s">
        <v>2557</v>
      </c>
      <c r="J997" s="3" t="str">
        <f>HYPERLINK("https://www.boe.es/gazeta/dias/1818/05/21/pdfs/GMD-1818-61.pdf#page=8","Abrir facsímil")</f>
        <v>Abrir facsímil</v>
      </c>
      <c r="K997" s="3" t="s">
        <v>38</v>
      </c>
    </row>
    <row r="998" spans="1:11" ht="42" customHeight="1">
      <c r="A998" s="2" t="s">
        <v>2549</v>
      </c>
      <c r="B998" s="2" t="s">
        <v>2550</v>
      </c>
      <c r="C998" s="2" t="s">
        <v>68</v>
      </c>
      <c r="D998" s="2" t="s">
        <v>69</v>
      </c>
      <c r="E998" s="5">
        <v>-29775</v>
      </c>
      <c r="F998" s="3" t="s">
        <v>1245</v>
      </c>
      <c r="G998" s="3" t="s">
        <v>2558</v>
      </c>
      <c r="H998" s="2" t="s">
        <v>36</v>
      </c>
      <c r="I998" s="2" t="s">
        <v>2559</v>
      </c>
      <c r="J998" s="3" t="str">
        <f>HYPERLINK("https://www.boe.es/gazeta/dias/1818/06/23/pdfs/GMD-1818-75.pdf#page=8","Abrir facsímil")</f>
        <v>Abrir facsímil</v>
      </c>
      <c r="K998" s="3" t="s">
        <v>38</v>
      </c>
    </row>
    <row r="999" spans="1:11" ht="42" customHeight="1">
      <c r="A999" s="2" t="s">
        <v>2549</v>
      </c>
      <c r="B999" s="2" t="s">
        <v>2550</v>
      </c>
      <c r="C999" s="2" t="s">
        <v>68</v>
      </c>
      <c r="D999" s="2" t="s">
        <v>69</v>
      </c>
      <c r="E999" s="5">
        <v>-29750</v>
      </c>
      <c r="F999" s="3" t="s">
        <v>384</v>
      </c>
      <c r="G999" s="3" t="s">
        <v>111</v>
      </c>
      <c r="H999" s="2" t="s">
        <v>36</v>
      </c>
      <c r="I999" s="2" t="s">
        <v>2560</v>
      </c>
      <c r="J999" s="3" t="str">
        <f>HYPERLINK("https://www.boe.es/gazeta/dias/1818/07/18/pdfs/GMD-1818-86.pdf#page=11","Abrir facsímil")</f>
        <v>Abrir facsímil</v>
      </c>
      <c r="K999" s="3" t="s">
        <v>38</v>
      </c>
    </row>
    <row r="1000" spans="1:11" ht="42" customHeight="1">
      <c r="A1000" s="2" t="s">
        <v>2549</v>
      </c>
      <c r="B1000" s="2" t="s">
        <v>2550</v>
      </c>
      <c r="C1000" s="2" t="s">
        <v>68</v>
      </c>
      <c r="D1000" s="2" t="s">
        <v>69</v>
      </c>
      <c r="E1000" s="5">
        <v>-29743</v>
      </c>
      <c r="F1000" s="3" t="s">
        <v>734</v>
      </c>
      <c r="G1000" s="3" t="s">
        <v>20</v>
      </c>
      <c r="H1000" s="2" t="s">
        <v>36</v>
      </c>
      <c r="I1000" s="2" t="s">
        <v>2561</v>
      </c>
      <c r="J1000" s="3" t="str">
        <f>HYPERLINK("https://www.boe.es/gazeta/dias/1818/07/25/pdfs/GMD-1818-89.pdf#page=7","Abrir facsímil")</f>
        <v>Abrir facsímil</v>
      </c>
      <c r="K1000" s="3" t="s">
        <v>38</v>
      </c>
    </row>
    <row r="1001" spans="1:11" ht="42" customHeight="1">
      <c r="A1001" s="2" t="s">
        <v>2549</v>
      </c>
      <c r="B1001" s="2" t="s">
        <v>2550</v>
      </c>
      <c r="C1001" s="2" t="s">
        <v>68</v>
      </c>
      <c r="D1001" s="2" t="s">
        <v>69</v>
      </c>
      <c r="E1001" s="5">
        <v>-29722</v>
      </c>
      <c r="F1001" s="3" t="s">
        <v>1127</v>
      </c>
      <c r="G1001" s="3" t="s">
        <v>45</v>
      </c>
      <c r="H1001" s="2" t="s">
        <v>36</v>
      </c>
      <c r="I1001" s="2" t="s">
        <v>2562</v>
      </c>
      <c r="J1001" s="3" t="str">
        <f>HYPERLINK("https://www.boe.es/gazeta/dias/1818/08/15/pdfs/GMD-1818-98.pdf#page=8","Abrir facsímil")</f>
        <v>Abrir facsímil</v>
      </c>
      <c r="K1001" s="3" t="s">
        <v>38</v>
      </c>
    </row>
    <row r="1002" spans="1:11" ht="42" customHeight="1">
      <c r="A1002" s="2" t="s">
        <v>2549</v>
      </c>
      <c r="B1002" s="2" t="s">
        <v>2550</v>
      </c>
      <c r="C1002" s="2" t="s">
        <v>68</v>
      </c>
      <c r="D1002" s="2" t="s">
        <v>69</v>
      </c>
      <c r="E1002" s="5">
        <v>-29666</v>
      </c>
      <c r="F1002" s="3" t="s">
        <v>258</v>
      </c>
      <c r="G1002" s="3" t="s">
        <v>259</v>
      </c>
      <c r="H1002" s="2" t="s">
        <v>36</v>
      </c>
      <c r="I1002" s="2" t="s">
        <v>2563</v>
      </c>
      <c r="J1002" s="3" t="str">
        <f>HYPERLINK("https://www.boe.es/gazeta/dias/1818/10/10/pdfs/GMD-1818-122.pdf#page=8","Abrir facsímil")</f>
        <v>Abrir facsímil</v>
      </c>
      <c r="K1002" s="3" t="s">
        <v>38</v>
      </c>
    </row>
    <row r="1003" spans="1:11" ht="42" customHeight="1">
      <c r="A1003" s="2" t="s">
        <v>2549</v>
      </c>
      <c r="B1003" s="2" t="s">
        <v>2550</v>
      </c>
      <c r="C1003" s="2" t="s">
        <v>68</v>
      </c>
      <c r="D1003" s="2" t="s">
        <v>69</v>
      </c>
      <c r="E1003" s="5">
        <v>-29649</v>
      </c>
      <c r="F1003" s="3" t="s">
        <v>585</v>
      </c>
      <c r="G1003" s="3" t="s">
        <v>45</v>
      </c>
      <c r="H1003" s="2" t="s">
        <v>36</v>
      </c>
      <c r="I1003" s="2" t="s">
        <v>2564</v>
      </c>
      <c r="J1003" s="3" t="str">
        <f>HYPERLINK("https://www.boe.es/gazeta/dias/1818/10/27/pdfs/GMD-1818-130.pdf#page=8","Abrir facsímil")</f>
        <v>Abrir facsímil</v>
      </c>
      <c r="K1003" s="3" t="s">
        <v>38</v>
      </c>
    </row>
    <row r="1004" spans="1:11" ht="42" customHeight="1">
      <c r="A1004" s="2" t="s">
        <v>2565</v>
      </c>
      <c r="B1004" s="2" t="s">
        <v>2566</v>
      </c>
      <c r="C1004" s="2" t="s">
        <v>68</v>
      </c>
      <c r="D1004" s="2" t="s">
        <v>69</v>
      </c>
      <c r="E1004" s="5">
        <v>-29624</v>
      </c>
      <c r="F1004" s="3" t="s">
        <v>131</v>
      </c>
      <c r="G1004" s="3" t="s">
        <v>45</v>
      </c>
      <c r="H1004" s="2" t="s">
        <v>36</v>
      </c>
      <c r="I1004" s="2" t="s">
        <v>2567</v>
      </c>
      <c r="J1004" s="3" t="str">
        <f>HYPERLINK("https://www.boe.es/gazeta/dias/1818/11/21/pdfs/GMD-1818-141.pdf#page=8","Abrir facsímil")</f>
        <v>Abrir facsímil</v>
      </c>
      <c r="K1004" s="3" t="s">
        <v>38</v>
      </c>
    </row>
    <row r="1005" spans="1:11" ht="42" customHeight="1">
      <c r="A1005" s="2" t="s">
        <v>2549</v>
      </c>
      <c r="B1005" s="2" t="s">
        <v>2550</v>
      </c>
      <c r="C1005" s="2" t="s">
        <v>68</v>
      </c>
      <c r="D1005" s="2" t="s">
        <v>69</v>
      </c>
      <c r="E1005" s="5">
        <v>-29621</v>
      </c>
      <c r="F1005" s="3" t="s">
        <v>1561</v>
      </c>
      <c r="G1005" s="3" t="s">
        <v>45</v>
      </c>
      <c r="H1005" s="2" t="s">
        <v>36</v>
      </c>
      <c r="I1005" s="2" t="s">
        <v>2568</v>
      </c>
      <c r="J1005" s="3" t="str">
        <f>HYPERLINK("https://www.boe.es/gazeta/dias/1818/11/24/pdfs/GMD-1818-142.pdf#page=8","Abrir facsímil")</f>
        <v>Abrir facsímil</v>
      </c>
      <c r="K1005" s="3" t="s">
        <v>38</v>
      </c>
    </row>
    <row r="1006" spans="1:11" ht="42" customHeight="1">
      <c r="A1006" s="2" t="s">
        <v>2569</v>
      </c>
      <c r="B1006" s="2" t="s">
        <v>2570</v>
      </c>
      <c r="C1006" s="2" t="s">
        <v>26</v>
      </c>
      <c r="D1006" s="2" t="s">
        <v>27</v>
      </c>
      <c r="E1006" s="5">
        <v>-29617</v>
      </c>
      <c r="F1006" s="3" t="s">
        <v>995</v>
      </c>
      <c r="G1006" s="3" t="s">
        <v>45</v>
      </c>
      <c r="H1006" s="2" t="s">
        <v>36</v>
      </c>
      <c r="I1006" s="2" t="s">
        <v>2571</v>
      </c>
      <c r="J1006" s="3" t="str">
        <f>HYPERLINK("https://www.boe.es/gazeta/dias/1818/11/28/pdfs/GMD-1818-144.pdf#page=8","Abrir facsímil")</f>
        <v>Abrir facsímil</v>
      </c>
      <c r="K1006" s="3" t="s">
        <v>38</v>
      </c>
    </row>
    <row r="1007" spans="1:11" ht="42" customHeight="1">
      <c r="A1007" s="2" t="s">
        <v>2549</v>
      </c>
      <c r="B1007" s="2" t="s">
        <v>2550</v>
      </c>
      <c r="C1007" s="2" t="s">
        <v>57</v>
      </c>
      <c r="D1007" s="2" t="s">
        <v>18</v>
      </c>
      <c r="E1007" s="5">
        <v>-29605</v>
      </c>
      <c r="F1007" s="3" t="s">
        <v>888</v>
      </c>
      <c r="G1007" s="3" t="s">
        <v>1327</v>
      </c>
      <c r="H1007" s="2" t="s">
        <v>36</v>
      </c>
      <c r="I1007" s="2" t="s">
        <v>2572</v>
      </c>
      <c r="J1007" s="3" t="str">
        <f>HYPERLINK("https://www.boe.es/gazeta/dias/1818/12/10/pdfs/GMD-1818-149.pdf#page=8","Abrir facsímil")</f>
        <v>Abrir facsímil</v>
      </c>
      <c r="K1007" s="3" t="s">
        <v>38</v>
      </c>
    </row>
    <row r="1008" spans="1:11" ht="42" customHeight="1">
      <c r="A1008" s="2" t="s">
        <v>2549</v>
      </c>
      <c r="B1008" s="2" t="s">
        <v>2550</v>
      </c>
      <c r="C1008" s="2" t="s">
        <v>68</v>
      </c>
      <c r="D1008" s="2" t="s">
        <v>69</v>
      </c>
      <c r="E1008" s="5">
        <v>-29603</v>
      </c>
      <c r="F1008" s="3" t="s">
        <v>647</v>
      </c>
      <c r="G1008" s="3" t="s">
        <v>45</v>
      </c>
      <c r="H1008" s="2" t="s">
        <v>36</v>
      </c>
      <c r="I1008" s="2" t="s">
        <v>2573</v>
      </c>
      <c r="J1008" s="3" t="str">
        <f>HYPERLINK("https://www.boe.es/gazeta/dias/1818/12/12/pdfs/GMD-1818-150.pdf#page=8","Abrir facsímil")</f>
        <v>Abrir facsímil</v>
      </c>
      <c r="K1008" s="3" t="s">
        <v>38</v>
      </c>
    </row>
    <row r="1009" spans="1:11" ht="42" customHeight="1">
      <c r="A1009" s="2" t="s">
        <v>2549</v>
      </c>
      <c r="B1009" s="2" t="s">
        <v>2550</v>
      </c>
      <c r="C1009" s="2" t="s">
        <v>68</v>
      </c>
      <c r="D1009" s="2" t="s">
        <v>69</v>
      </c>
      <c r="E1009" s="5">
        <v>-29593</v>
      </c>
      <c r="F1009" s="3" t="s">
        <v>185</v>
      </c>
      <c r="G1009" s="3" t="s">
        <v>45</v>
      </c>
      <c r="H1009" s="2" t="s">
        <v>36</v>
      </c>
      <c r="I1009" s="2" t="s">
        <v>2574</v>
      </c>
      <c r="J1009" s="3" t="str">
        <f>HYPERLINK("https://www.boe.es/gazeta/dias/1818/12/22/pdfs/GMD-1818-154.pdf#page=8","Abrir facsímil")</f>
        <v>Abrir facsímil</v>
      </c>
      <c r="K1009" s="3" t="s">
        <v>38</v>
      </c>
    </row>
    <row r="1010" spans="1:11" ht="42" customHeight="1">
      <c r="A1010" s="2" t="s">
        <v>2575</v>
      </c>
      <c r="B1010" s="2" t="s">
        <v>2576</v>
      </c>
      <c r="C1010" s="2" t="s">
        <v>26</v>
      </c>
      <c r="D1010" s="2" t="s">
        <v>27</v>
      </c>
      <c r="E1010" s="5">
        <v>-29600</v>
      </c>
      <c r="F1010" s="3" t="s">
        <v>697</v>
      </c>
      <c r="G1010" s="3" t="s">
        <v>59</v>
      </c>
      <c r="H1010" s="2" t="s">
        <v>36</v>
      </c>
      <c r="I1010" s="2" t="s">
        <v>2577</v>
      </c>
      <c r="J1010" s="3" t="str">
        <f>HYPERLINK("https://www.boe.es/gazeta/dias/1818/12/15/pdfs/GMD-1818-151.pdf#page=6","Abrir facsímil")</f>
        <v>Abrir facsímil</v>
      </c>
      <c r="K1010" s="3" t="s">
        <v>38</v>
      </c>
    </row>
    <row r="1011" spans="1:11" ht="42" customHeight="1">
      <c r="A1011" s="2" t="s">
        <v>2578</v>
      </c>
      <c r="B1011" s="2" t="s">
        <v>2579</v>
      </c>
      <c r="C1011" s="2" t="s">
        <v>68</v>
      </c>
      <c r="D1011" s="2" t="s">
        <v>69</v>
      </c>
      <c r="E1011" s="5">
        <v>-29754</v>
      </c>
      <c r="F1011" s="3" t="s">
        <v>466</v>
      </c>
      <c r="G1011" s="3" t="s">
        <v>45</v>
      </c>
      <c r="H1011" s="2" t="s">
        <v>36</v>
      </c>
      <c r="I1011" s="2" t="s">
        <v>2580</v>
      </c>
      <c r="J1011" s="3" t="str">
        <f>HYPERLINK("https://www.boe.es/gazeta/dias/1818/07/14/pdfs/GMD-1818-84.pdf#page=8","Abrir facsímil")</f>
        <v>Abrir facsímil</v>
      </c>
      <c r="K1011" s="3" t="s">
        <v>38</v>
      </c>
    </row>
    <row r="1012" spans="1:11" ht="42" customHeight="1">
      <c r="A1012" s="2" t="s">
        <v>2581</v>
      </c>
      <c r="B1012" s="2" t="s">
        <v>2581</v>
      </c>
      <c r="C1012" s="2" t="s">
        <v>26</v>
      </c>
      <c r="D1012" s="2" t="s">
        <v>27</v>
      </c>
      <c r="E1012" s="5">
        <v>-29635</v>
      </c>
      <c r="F1012" s="3" t="s">
        <v>560</v>
      </c>
      <c r="G1012" s="3" t="s">
        <v>45</v>
      </c>
      <c r="H1012" s="2" t="s">
        <v>36</v>
      </c>
      <c r="I1012" s="2" t="s">
        <v>2582</v>
      </c>
      <c r="J1012" s="3" t="str">
        <f>HYPERLINK("https://www.boe.es/gazeta/dias/1818/11/10/pdfs/GMD-1818-136.pdf#page=8","Abrir facsímil")</f>
        <v>Abrir facsímil</v>
      </c>
      <c r="K1012" s="3" t="s">
        <v>38</v>
      </c>
    </row>
    <row r="1013" spans="1:11" ht="42" customHeight="1">
      <c r="A1013" s="2" t="s">
        <v>2583</v>
      </c>
      <c r="B1013" s="2" t="s">
        <v>2584</v>
      </c>
      <c r="C1013" s="2" t="s">
        <v>26</v>
      </c>
      <c r="D1013" s="2" t="s">
        <v>27</v>
      </c>
      <c r="E1013" s="5">
        <v>-29815</v>
      </c>
      <c r="F1013" s="3" t="s">
        <v>2169</v>
      </c>
      <c r="G1013" s="3" t="s">
        <v>45</v>
      </c>
      <c r="H1013" s="2" t="s">
        <v>21</v>
      </c>
      <c r="I1013" s="2" t="s">
        <v>2585</v>
      </c>
      <c r="J1013" s="3" t="str">
        <f>HYPERLINK("https://www.boe.es/gazeta/dias/1818/05/14/pdfs/GMD-1818-58.pdf#page=8","Abrir facsímil")</f>
        <v>Abrir facsímil</v>
      </c>
      <c r="K1013" s="3" t="s">
        <v>23</v>
      </c>
    </row>
    <row r="1014" spans="1:11" ht="42" customHeight="1">
      <c r="A1014" s="2" t="s">
        <v>2586</v>
      </c>
      <c r="B1014" s="2" t="s">
        <v>2586</v>
      </c>
      <c r="C1014" s="2" t="s">
        <v>17</v>
      </c>
      <c r="D1014" s="2" t="s">
        <v>18</v>
      </c>
      <c r="E1014" s="5">
        <v>-29829</v>
      </c>
      <c r="F1014" s="3" t="s">
        <v>44</v>
      </c>
      <c r="G1014" s="3" t="s">
        <v>29</v>
      </c>
      <c r="H1014" s="2" t="s">
        <v>36</v>
      </c>
      <c r="I1014" s="2" t="s">
        <v>2587</v>
      </c>
      <c r="J1014" s="3" t="str">
        <f>HYPERLINK("https://www.boe.es/gazeta/dias/1818/04/30/pdfs/GMD-1818-52.pdf#page=4","Abrir facsímil")</f>
        <v>Abrir facsímil</v>
      </c>
      <c r="K1014" s="3" t="s">
        <v>38</v>
      </c>
    </row>
    <row r="1015" spans="1:11" ht="42" customHeight="1">
      <c r="A1015" s="2" t="s">
        <v>2588</v>
      </c>
      <c r="B1015" s="2" t="s">
        <v>2589</v>
      </c>
      <c r="C1015" s="2" t="s">
        <v>26</v>
      </c>
      <c r="D1015" s="2" t="s">
        <v>27</v>
      </c>
      <c r="E1015" s="5">
        <v>-29897</v>
      </c>
      <c r="F1015" s="3" t="s">
        <v>318</v>
      </c>
      <c r="G1015" s="3" t="s">
        <v>45</v>
      </c>
      <c r="H1015" s="2" t="s">
        <v>36</v>
      </c>
      <c r="I1015" s="2" t="s">
        <v>2590</v>
      </c>
      <c r="J1015" s="3" t="str">
        <f>HYPERLINK("https://www.boe.es/gazeta/dias/1818/02/21/pdfs/GMD-1818-23.pdf#page=8","Abrir facsímil")</f>
        <v>Abrir facsímil</v>
      </c>
      <c r="K1015" s="3" t="s">
        <v>38</v>
      </c>
    </row>
    <row r="1016" spans="1:11" ht="42" customHeight="1">
      <c r="A1016" s="2" t="s">
        <v>2591</v>
      </c>
      <c r="B1016" s="2" t="s">
        <v>2592</v>
      </c>
      <c r="C1016" s="2" t="s">
        <v>68</v>
      </c>
      <c r="D1016" s="2" t="s">
        <v>69</v>
      </c>
      <c r="E1016" s="5">
        <v>-29815</v>
      </c>
      <c r="F1016" s="3" t="s">
        <v>2169</v>
      </c>
      <c r="G1016" s="3" t="s">
        <v>45</v>
      </c>
      <c r="H1016" s="2" t="s">
        <v>36</v>
      </c>
      <c r="I1016" s="2" t="s">
        <v>2593</v>
      </c>
      <c r="J1016" s="3" t="str">
        <f>HYPERLINK("https://www.boe.es/gazeta/dias/1818/05/14/pdfs/GMD-1818-58.pdf#page=8","Abrir facsímil")</f>
        <v>Abrir facsímil</v>
      </c>
      <c r="K1016" s="3" t="s">
        <v>38</v>
      </c>
    </row>
    <row r="1017" spans="1:11" ht="42" customHeight="1">
      <c r="A1017" s="2" t="s">
        <v>2591</v>
      </c>
      <c r="B1017" s="2" t="s">
        <v>2592</v>
      </c>
      <c r="C1017" s="2" t="s">
        <v>68</v>
      </c>
      <c r="D1017" s="2" t="s">
        <v>69</v>
      </c>
      <c r="E1017" s="5">
        <v>-29771</v>
      </c>
      <c r="F1017" s="3" t="s">
        <v>1260</v>
      </c>
      <c r="G1017" s="3" t="s">
        <v>45</v>
      </c>
      <c r="H1017" s="2" t="s">
        <v>36</v>
      </c>
      <c r="I1017" s="2" t="s">
        <v>2594</v>
      </c>
      <c r="J1017" s="3" t="str">
        <f>HYPERLINK("https://www.boe.es/gazeta/dias/1818/06/27/pdfs/GMD-1818-77.pdf#page=8","Abrir facsímil")</f>
        <v>Abrir facsímil</v>
      </c>
      <c r="K1017" s="3" t="s">
        <v>38</v>
      </c>
    </row>
    <row r="1018" spans="1:11" ht="42" customHeight="1">
      <c r="A1018" s="2" t="s">
        <v>2595</v>
      </c>
      <c r="B1018" s="2" t="s">
        <v>2596</v>
      </c>
      <c r="C1018" s="2" t="s">
        <v>26</v>
      </c>
      <c r="D1018" s="2" t="s">
        <v>27</v>
      </c>
      <c r="E1018" s="5">
        <v>-29656</v>
      </c>
      <c r="F1018" s="3" t="s">
        <v>601</v>
      </c>
      <c r="G1018" s="3" t="s">
        <v>85</v>
      </c>
      <c r="H1018" s="2" t="s">
        <v>36</v>
      </c>
      <c r="I1018" s="2" t="s">
        <v>2597</v>
      </c>
      <c r="J1018" s="3" t="str">
        <f>HYPERLINK("https://www.boe.es/gazeta/dias/1818/10/20/pdfs/GMD-1818-127.pdf#page=3","Abrir facsímil")</f>
        <v>Abrir facsímil</v>
      </c>
      <c r="K1018" s="3" t="s">
        <v>38</v>
      </c>
    </row>
    <row r="1019" spans="1:11" ht="42" customHeight="1">
      <c r="A1019" s="2" t="s">
        <v>2598</v>
      </c>
      <c r="B1019" s="2" t="s">
        <v>2598</v>
      </c>
      <c r="C1019" s="2" t="s">
        <v>57</v>
      </c>
      <c r="D1019" s="2" t="s">
        <v>18</v>
      </c>
      <c r="E1019" s="5">
        <v>-29689</v>
      </c>
      <c r="F1019" s="3" t="s">
        <v>303</v>
      </c>
      <c r="G1019" s="3" t="s">
        <v>1779</v>
      </c>
      <c r="H1019" s="2" t="s">
        <v>36</v>
      </c>
      <c r="I1019" s="2" t="s">
        <v>2599</v>
      </c>
      <c r="J1019" s="3" t="str">
        <f>HYPERLINK("https://www.boe.es/gazeta/dias/1818/09/17/pdfs/GMD-1818-112.pdf#page=3","Abrir facsímil")</f>
        <v>Abrir facsímil</v>
      </c>
      <c r="K1019" s="3" t="s">
        <v>38</v>
      </c>
    </row>
    <row r="1020" spans="1:11" ht="42" customHeight="1">
      <c r="A1020" s="2" t="s">
        <v>2600</v>
      </c>
      <c r="B1020" s="2" t="s">
        <v>2601</v>
      </c>
      <c r="C1020" s="2" t="s">
        <v>26</v>
      </c>
      <c r="D1020" s="2" t="s">
        <v>27</v>
      </c>
      <c r="E1020" s="5">
        <v>-29887</v>
      </c>
      <c r="F1020" s="3" t="s">
        <v>613</v>
      </c>
      <c r="G1020" s="3" t="s">
        <v>59</v>
      </c>
      <c r="H1020" s="2" t="s">
        <v>36</v>
      </c>
      <c r="I1020" s="2" t="s">
        <v>2602</v>
      </c>
      <c r="J1020" s="3" t="str">
        <f>HYPERLINK("https://www.boe.es/gazeta/dias/1818/03/03/pdfs/GMD-1818-27.pdf#page=6","Abrir facsímil")</f>
        <v>Abrir facsímil</v>
      </c>
      <c r="K1020" s="3" t="s">
        <v>38</v>
      </c>
    </row>
    <row r="1021" spans="1:11" ht="42" customHeight="1">
      <c r="A1021" s="2" t="s">
        <v>2603</v>
      </c>
      <c r="B1021" s="2" t="s">
        <v>2604</v>
      </c>
      <c r="C1021" s="2" t="s">
        <v>26</v>
      </c>
      <c r="D1021" s="2" t="s">
        <v>27</v>
      </c>
      <c r="E1021" s="5">
        <v>-29831</v>
      </c>
      <c r="F1021" s="3" t="s">
        <v>567</v>
      </c>
      <c r="G1021" s="3" t="s">
        <v>20</v>
      </c>
      <c r="H1021" s="2" t="s">
        <v>36</v>
      </c>
      <c r="I1021" s="2" t="s">
        <v>2605</v>
      </c>
      <c r="J1021" s="3" t="str">
        <f>HYPERLINK("https://www.boe.es/gazeta/dias/1818/04/28/pdfs/GMD-1818-51.pdf#page=7","Abrir facsímil")</f>
        <v>Abrir facsímil</v>
      </c>
      <c r="K1021" s="3" t="s">
        <v>38</v>
      </c>
    </row>
    <row r="1022" spans="1:11" ht="42" customHeight="1">
      <c r="A1022" s="2" t="s">
        <v>2606</v>
      </c>
      <c r="B1022" s="2" t="s">
        <v>2606</v>
      </c>
      <c r="C1022" s="2" t="s">
        <v>17</v>
      </c>
      <c r="D1022" s="2" t="s">
        <v>18</v>
      </c>
      <c r="E1022" s="5">
        <v>-29927</v>
      </c>
      <c r="F1022" s="3" t="s">
        <v>1381</v>
      </c>
      <c r="G1022" s="3" t="s">
        <v>49</v>
      </c>
      <c r="H1022" s="2" t="s">
        <v>36</v>
      </c>
      <c r="I1022" s="2" t="s">
        <v>2607</v>
      </c>
      <c r="J1022" s="3" t="str">
        <f>HYPERLINK("https://www.boe.es/gazeta/dias/1818/01/22/pdfs/GMD-1818-10.pdf#page=1","Abrir facsímil")</f>
        <v>Abrir facsímil</v>
      </c>
      <c r="K1022" s="3" t="s">
        <v>38</v>
      </c>
    </row>
    <row r="1023" spans="1:11" ht="42" customHeight="1">
      <c r="A1023" s="2" t="s">
        <v>2608</v>
      </c>
      <c r="B1023" s="2" t="s">
        <v>2609</v>
      </c>
      <c r="C1023" s="2" t="s">
        <v>26</v>
      </c>
      <c r="D1023" s="2" t="s">
        <v>27</v>
      </c>
      <c r="E1023" s="5">
        <v>-29736</v>
      </c>
      <c r="F1023" s="3" t="s">
        <v>581</v>
      </c>
      <c r="G1023" s="3" t="s">
        <v>45</v>
      </c>
      <c r="H1023" s="2" t="s">
        <v>36</v>
      </c>
      <c r="I1023" s="2" t="s">
        <v>2610</v>
      </c>
      <c r="J1023" s="3" t="str">
        <f>HYPERLINK("https://www.boe.es/gazeta/dias/1818/08/01/pdfs/GMD-1818-92.pdf#page=8","Abrir facsímil")</f>
        <v>Abrir facsímil</v>
      </c>
      <c r="K1023" s="3" t="s">
        <v>38</v>
      </c>
    </row>
    <row r="1024" spans="1:11" ht="42" customHeight="1">
      <c r="A1024" s="2" t="s">
        <v>2611</v>
      </c>
      <c r="B1024" s="2" t="s">
        <v>2612</v>
      </c>
      <c r="C1024" s="2" t="s">
        <v>26</v>
      </c>
      <c r="D1024" s="2" t="s">
        <v>27</v>
      </c>
      <c r="E1024" s="5">
        <v>-29813</v>
      </c>
      <c r="F1024" s="3" t="s">
        <v>839</v>
      </c>
      <c r="G1024" s="3" t="s">
        <v>59</v>
      </c>
      <c r="H1024" s="2" t="s">
        <v>36</v>
      </c>
      <c r="I1024" s="2" t="s">
        <v>2613</v>
      </c>
      <c r="J1024" s="3" t="str">
        <f>HYPERLINK("https://www.boe.es/gazeta/dias/1818/05/16/pdfs/GMD-1818-59.pdf#page=6","Abrir facsímil")</f>
        <v>Abrir facsímil</v>
      </c>
      <c r="K1024" s="3" t="s">
        <v>38</v>
      </c>
    </row>
    <row r="1025" spans="1:11" ht="42" customHeight="1">
      <c r="A1025" s="2" t="s">
        <v>2614</v>
      </c>
      <c r="B1025" s="2" t="s">
        <v>2615</v>
      </c>
      <c r="C1025" s="2" t="s">
        <v>17</v>
      </c>
      <c r="D1025" s="2" t="s">
        <v>18</v>
      </c>
      <c r="E1025" s="5">
        <v>-29736</v>
      </c>
      <c r="F1025" s="3" t="s">
        <v>581</v>
      </c>
      <c r="G1025" s="3" t="s">
        <v>20</v>
      </c>
      <c r="H1025" s="2" t="s">
        <v>36</v>
      </c>
      <c r="I1025" s="2" t="s">
        <v>2616</v>
      </c>
      <c r="J1025" s="3" t="str">
        <f>HYPERLINK("https://www.boe.es/gazeta/dias/1818/08/01/pdfs/GMD-1818-92.pdf#page=7","Abrir facsímil")</f>
        <v>Abrir facsímil</v>
      </c>
      <c r="K1025" s="3" t="s">
        <v>38</v>
      </c>
    </row>
    <row r="1026" spans="1:11" ht="42" customHeight="1">
      <c r="A1026" s="2" t="s">
        <v>2617</v>
      </c>
      <c r="B1026" s="2" t="s">
        <v>2618</v>
      </c>
      <c r="C1026" s="2" t="s">
        <v>26</v>
      </c>
      <c r="D1026" s="2" t="s">
        <v>27</v>
      </c>
      <c r="E1026" s="5">
        <v>-29750</v>
      </c>
      <c r="F1026" s="3" t="s">
        <v>384</v>
      </c>
      <c r="G1026" s="3" t="s">
        <v>111</v>
      </c>
      <c r="H1026" s="2" t="s">
        <v>36</v>
      </c>
      <c r="I1026" s="2" t="s">
        <v>2619</v>
      </c>
      <c r="J1026" s="3" t="str">
        <f>HYPERLINK("https://www.boe.es/gazeta/dias/1818/07/18/pdfs/GMD-1818-86.pdf#page=11","Abrir facsímil")</f>
        <v>Abrir facsímil</v>
      </c>
      <c r="K1026" s="3" t="s">
        <v>38</v>
      </c>
    </row>
    <row r="1027" spans="1:11" ht="42" customHeight="1">
      <c r="A1027" s="2" t="s">
        <v>2620</v>
      </c>
      <c r="B1027" s="2" t="s">
        <v>2621</v>
      </c>
      <c r="C1027" s="2" t="s">
        <v>26</v>
      </c>
      <c r="D1027" s="2" t="s">
        <v>27</v>
      </c>
      <c r="E1027" s="5">
        <v>-29652</v>
      </c>
      <c r="F1027" s="3" t="s">
        <v>741</v>
      </c>
      <c r="G1027" s="3" t="s">
        <v>106</v>
      </c>
      <c r="H1027" s="2" t="s">
        <v>36</v>
      </c>
      <c r="I1027" s="2" t="s">
        <v>2622</v>
      </c>
      <c r="J1027" s="3" t="str">
        <f>HYPERLINK("https://www.boe.es/gazeta/dias/1818/10/24/pdfs/GMD-1818-129.pdf#page=5","Abrir facsímil")</f>
        <v>Abrir facsímil</v>
      </c>
      <c r="K1027" s="3" t="s">
        <v>38</v>
      </c>
    </row>
    <row r="1028" spans="1:11" ht="42" customHeight="1">
      <c r="A1028" s="2" t="s">
        <v>2623</v>
      </c>
      <c r="B1028" s="2" t="s">
        <v>2623</v>
      </c>
      <c r="C1028" s="2" t="s">
        <v>17</v>
      </c>
      <c r="D1028" s="2" t="s">
        <v>18</v>
      </c>
      <c r="E1028" s="5">
        <v>-29901</v>
      </c>
      <c r="F1028" s="3" t="s">
        <v>417</v>
      </c>
      <c r="G1028" s="3" t="s">
        <v>106</v>
      </c>
      <c r="H1028" s="2" t="s">
        <v>36</v>
      </c>
      <c r="I1028" s="2" t="s">
        <v>2624</v>
      </c>
      <c r="J1028" s="3" t="str">
        <f>HYPERLINK("https://www.boe.es/gazeta/dias/1818/02/17/pdfs/GMD-1818-21.pdf#page=5","Abrir facsímil")</f>
        <v>Abrir facsímil</v>
      </c>
      <c r="K1028" s="3" t="s">
        <v>38</v>
      </c>
    </row>
    <row r="1029" spans="1:11" ht="42" customHeight="1">
      <c r="A1029" s="2" t="s">
        <v>2625</v>
      </c>
      <c r="B1029" s="2" t="s">
        <v>2626</v>
      </c>
      <c r="C1029" s="2" t="s">
        <v>215</v>
      </c>
      <c r="D1029" s="2" t="s">
        <v>18</v>
      </c>
      <c r="E1029" s="5">
        <v>-29691</v>
      </c>
      <c r="F1029" s="3" t="s">
        <v>144</v>
      </c>
      <c r="G1029" s="3" t="s">
        <v>59</v>
      </c>
      <c r="H1029" s="2" t="s">
        <v>36</v>
      </c>
      <c r="I1029" s="2" t="s">
        <v>2627</v>
      </c>
      <c r="J1029" s="3" t="str">
        <f>HYPERLINK("https://www.boe.es/gazeta/dias/1818/09/15/pdfs/GMD-1818-111.pdf#page=6","Abrir facsímil")</f>
        <v>Abrir facsímil</v>
      </c>
      <c r="K1029" s="3" t="s">
        <v>38</v>
      </c>
    </row>
    <row r="1030" spans="1:11" ht="42" customHeight="1">
      <c r="A1030" s="2" t="s">
        <v>2625</v>
      </c>
      <c r="B1030" s="2" t="s">
        <v>2626</v>
      </c>
      <c r="C1030" s="2" t="s">
        <v>97</v>
      </c>
      <c r="D1030" s="2" t="s">
        <v>18</v>
      </c>
      <c r="E1030" s="5">
        <v>-29619</v>
      </c>
      <c r="F1030" s="3" t="s">
        <v>64</v>
      </c>
      <c r="G1030" s="3" t="s">
        <v>20</v>
      </c>
      <c r="H1030" s="2" t="s">
        <v>36</v>
      </c>
      <c r="I1030" s="2" t="s">
        <v>2628</v>
      </c>
      <c r="J1030" s="3" t="str">
        <f>HYPERLINK("https://www.boe.es/gazeta/dias/1818/11/26/pdfs/GMD-1818-143.pdf#page=7","Abrir facsímil")</f>
        <v>Abrir facsímil</v>
      </c>
      <c r="K1030" s="3" t="s">
        <v>38</v>
      </c>
    </row>
    <row r="1031" spans="1:11" ht="42" customHeight="1">
      <c r="A1031" s="2" t="s">
        <v>2629</v>
      </c>
      <c r="B1031" s="2" t="s">
        <v>2630</v>
      </c>
      <c r="C1031" s="2" t="s">
        <v>26</v>
      </c>
      <c r="D1031" s="2" t="s">
        <v>27</v>
      </c>
      <c r="E1031" s="5">
        <v>-29831</v>
      </c>
      <c r="F1031" s="3" t="s">
        <v>567</v>
      </c>
      <c r="G1031" s="3" t="s">
        <v>20</v>
      </c>
      <c r="H1031" s="2" t="s">
        <v>36</v>
      </c>
      <c r="I1031" s="2" t="s">
        <v>2631</v>
      </c>
      <c r="J1031" s="3" t="str">
        <f>HYPERLINK("https://www.boe.es/gazeta/dias/1818/04/28/pdfs/GMD-1818-51.pdf#page=7","Abrir facsímil")</f>
        <v>Abrir facsímil</v>
      </c>
      <c r="K1031" s="3" t="s">
        <v>38</v>
      </c>
    </row>
    <row r="1032" spans="1:11" ht="42" customHeight="1">
      <c r="A1032" s="2" t="s">
        <v>2632</v>
      </c>
      <c r="B1032" s="2" t="s">
        <v>2633</v>
      </c>
      <c r="C1032" s="2" t="s">
        <v>26</v>
      </c>
      <c r="D1032" s="2" t="s">
        <v>27</v>
      </c>
      <c r="E1032" s="5">
        <v>-29876</v>
      </c>
      <c r="F1032" s="3" t="s">
        <v>338</v>
      </c>
      <c r="G1032" s="3" t="s">
        <v>29</v>
      </c>
      <c r="H1032" s="2" t="s">
        <v>36</v>
      </c>
      <c r="I1032" s="2" t="s">
        <v>2634</v>
      </c>
      <c r="J1032" s="3" t="str">
        <f>HYPERLINK("https://www.boe.es/gazeta/dias/1818/03/14/pdfs/GMD-1818-32.pdf#page=4","Abrir facsímil")</f>
        <v>Abrir facsímil</v>
      </c>
      <c r="K1032" s="3" t="s">
        <v>38</v>
      </c>
    </row>
    <row r="1033" spans="1:11" ht="42" customHeight="1">
      <c r="A1033" s="2" t="s">
        <v>2635</v>
      </c>
      <c r="B1033" s="2" t="s">
        <v>2636</v>
      </c>
      <c r="C1033" s="2" t="s">
        <v>26</v>
      </c>
      <c r="D1033" s="2" t="s">
        <v>27</v>
      </c>
      <c r="E1033" s="5">
        <v>-29934</v>
      </c>
      <c r="F1033" s="3" t="s">
        <v>53</v>
      </c>
      <c r="G1033" s="3" t="s">
        <v>20</v>
      </c>
      <c r="H1033" s="2" t="s">
        <v>21</v>
      </c>
      <c r="I1033" s="2" t="s">
        <v>2637</v>
      </c>
      <c r="J1033" s="3" t="str">
        <f>HYPERLINK("https://www.boe.es/gazeta/dias/1818/01/15/pdfs/GMD-1818-7.pdf#page=7","Abrir facsímil")</f>
        <v>Abrir facsímil</v>
      </c>
      <c r="K1033" s="3" t="s">
        <v>23</v>
      </c>
    </row>
    <row r="1034" spans="1:11" ht="42" customHeight="1">
      <c r="A1034" s="2" t="s">
        <v>2638</v>
      </c>
      <c r="B1034" s="2" t="s">
        <v>2639</v>
      </c>
      <c r="C1034" s="2" t="s">
        <v>17</v>
      </c>
      <c r="D1034" s="2" t="s">
        <v>18</v>
      </c>
      <c r="E1034" s="5">
        <v>-29829</v>
      </c>
      <c r="F1034" s="3" t="s">
        <v>44</v>
      </c>
      <c r="G1034" s="3" t="s">
        <v>45</v>
      </c>
      <c r="H1034" s="2" t="s">
        <v>36</v>
      </c>
      <c r="I1034" s="2" t="s">
        <v>2640</v>
      </c>
      <c r="J1034" s="3" t="str">
        <f>HYPERLINK("https://www.boe.es/gazeta/dias/1818/04/30/pdfs/GMD-1818-52.pdf#page=8","Abrir facsímil")</f>
        <v>Abrir facsímil</v>
      </c>
      <c r="K1034" s="3" t="s">
        <v>38</v>
      </c>
    </row>
    <row r="1035" spans="1:11" ht="42" customHeight="1">
      <c r="A1035" s="2" t="s">
        <v>2641</v>
      </c>
      <c r="B1035" s="2" t="s">
        <v>2642</v>
      </c>
      <c r="C1035" s="2" t="s">
        <v>26</v>
      </c>
      <c r="D1035" s="2" t="s">
        <v>27</v>
      </c>
      <c r="E1035" s="5">
        <v>-29638</v>
      </c>
      <c r="F1035" s="3" t="s">
        <v>307</v>
      </c>
      <c r="G1035" s="3" t="s">
        <v>2643</v>
      </c>
      <c r="H1035" s="2" t="s">
        <v>36</v>
      </c>
      <c r="I1035" s="2" t="s">
        <v>2644</v>
      </c>
      <c r="J1035" s="3" t="str">
        <f>HYPERLINK("https://www.boe.es/gazeta/dias/1818/11/07/pdfs/GMD-1818-135.pdf#page=6","Abrir facsímil")</f>
        <v>Abrir facsímil</v>
      </c>
      <c r="K1035" s="3" t="s">
        <v>38</v>
      </c>
    </row>
    <row r="1036" spans="1:11" ht="42" customHeight="1">
      <c r="A1036" s="2" t="s">
        <v>2645</v>
      </c>
      <c r="B1036" s="2" t="s">
        <v>2645</v>
      </c>
      <c r="C1036" s="2" t="s">
        <v>26</v>
      </c>
      <c r="D1036" s="2" t="s">
        <v>27</v>
      </c>
      <c r="E1036" s="5">
        <v>-29792</v>
      </c>
      <c r="F1036" s="3" t="s">
        <v>948</v>
      </c>
      <c r="G1036" s="3" t="s">
        <v>59</v>
      </c>
      <c r="H1036" s="2" t="s">
        <v>36</v>
      </c>
      <c r="I1036" s="2" t="s">
        <v>2646</v>
      </c>
      <c r="J1036" s="3" t="str">
        <f>HYPERLINK("https://www.boe.es/gazeta/dias/1818/06/06/pdfs/GMD-1818-68.pdf#page=6","Abrir facsímil")</f>
        <v>Abrir facsímil</v>
      </c>
      <c r="K1036" s="3" t="s">
        <v>38</v>
      </c>
    </row>
    <row r="1037" spans="1:11" ht="42" customHeight="1">
      <c r="A1037" s="2" t="s">
        <v>2647</v>
      </c>
      <c r="B1037" s="2" t="s">
        <v>2647</v>
      </c>
      <c r="C1037" s="2" t="s">
        <v>17</v>
      </c>
      <c r="D1037" s="2" t="s">
        <v>18</v>
      </c>
      <c r="E1037" s="5">
        <v>-29838</v>
      </c>
      <c r="F1037" s="3" t="s">
        <v>593</v>
      </c>
      <c r="G1037" s="3" t="s">
        <v>2648</v>
      </c>
      <c r="H1037" s="2" t="s">
        <v>36</v>
      </c>
      <c r="I1037" s="2" t="s">
        <v>2649</v>
      </c>
      <c r="J1037" s="3" t="str">
        <f>HYPERLINK("https://www.boe.es/gazeta/dias/1818/04/21/pdfs/GMD-1818-48.pdf#page=4","Abrir facsímil")</f>
        <v>Abrir facsímil</v>
      </c>
      <c r="K1037" s="3" t="s">
        <v>38</v>
      </c>
    </row>
    <row r="1038" spans="1:11" ht="42" customHeight="1">
      <c r="A1038" s="2" t="s">
        <v>2650</v>
      </c>
      <c r="B1038" s="2" t="s">
        <v>2651</v>
      </c>
      <c r="C1038" s="2" t="s">
        <v>26</v>
      </c>
      <c r="D1038" s="2" t="s">
        <v>27</v>
      </c>
      <c r="E1038" s="5">
        <v>-29852</v>
      </c>
      <c r="F1038" s="3" t="s">
        <v>327</v>
      </c>
      <c r="G1038" s="3" t="s">
        <v>45</v>
      </c>
      <c r="H1038" s="2" t="s">
        <v>36</v>
      </c>
      <c r="I1038" s="2" t="s">
        <v>2652</v>
      </c>
      <c r="J1038" s="3" t="str">
        <f>HYPERLINK("https://www.boe.es/gazeta/dias/1818/04/07/pdfs/GMD-1818-42.pdf#page=8","Abrir facsímil")</f>
        <v>Abrir facsímil</v>
      </c>
      <c r="K1038" s="3" t="s">
        <v>38</v>
      </c>
    </row>
    <row r="1039" spans="1:11" ht="42" customHeight="1">
      <c r="A1039" s="2" t="s">
        <v>2653</v>
      </c>
      <c r="B1039" s="2" t="s">
        <v>2654</v>
      </c>
      <c r="C1039" s="2" t="s">
        <v>26</v>
      </c>
      <c r="D1039" s="2" t="s">
        <v>27</v>
      </c>
      <c r="E1039" s="5">
        <v>-29750</v>
      </c>
      <c r="F1039" s="3" t="s">
        <v>384</v>
      </c>
      <c r="G1039" s="3" t="s">
        <v>111</v>
      </c>
      <c r="H1039" s="2" t="s">
        <v>21</v>
      </c>
      <c r="I1039" s="2" t="s">
        <v>2655</v>
      </c>
      <c r="J1039" s="3" t="str">
        <f>HYPERLINK("https://www.boe.es/gazeta/dias/1818/07/18/pdfs/GMD-1818-86.pdf#page=11","Abrir facsímil")</f>
        <v>Abrir facsímil</v>
      </c>
      <c r="K1039" s="3" t="s">
        <v>23</v>
      </c>
    </row>
    <row r="1040" spans="1:11" ht="42" customHeight="1">
      <c r="A1040" s="2" t="s">
        <v>2656</v>
      </c>
      <c r="B1040" s="2" t="s">
        <v>2657</v>
      </c>
      <c r="C1040" s="2" t="s">
        <v>26</v>
      </c>
      <c r="D1040" s="2" t="s">
        <v>27</v>
      </c>
      <c r="E1040" s="5">
        <v>-29920</v>
      </c>
      <c r="F1040" s="3" t="s">
        <v>201</v>
      </c>
      <c r="G1040" s="3" t="s">
        <v>111</v>
      </c>
      <c r="H1040" s="2" t="s">
        <v>36</v>
      </c>
      <c r="I1040" s="2" t="s">
        <v>2658</v>
      </c>
      <c r="J1040" s="3" t="str">
        <f>HYPERLINK("https://www.boe.es/gazeta/dias/1818/01/29/pdfs/GMD-1818-13.pdf#page=11","Abrir facsímil")</f>
        <v>Abrir facsímil</v>
      </c>
      <c r="K1040" s="3" t="s">
        <v>38</v>
      </c>
    </row>
    <row r="1041" spans="1:11" ht="42" customHeight="1">
      <c r="A1041" s="2" t="s">
        <v>2659</v>
      </c>
      <c r="B1041" s="2" t="s">
        <v>2660</v>
      </c>
      <c r="C1041" s="2" t="s">
        <v>57</v>
      </c>
      <c r="D1041" s="2" t="s">
        <v>18</v>
      </c>
      <c r="E1041" s="5">
        <v>-29878</v>
      </c>
      <c r="F1041" s="3" t="s">
        <v>353</v>
      </c>
      <c r="G1041" s="3" t="s">
        <v>45</v>
      </c>
      <c r="H1041" s="2" t="s">
        <v>36</v>
      </c>
      <c r="I1041" s="2" t="s">
        <v>2661</v>
      </c>
      <c r="J1041" s="3" t="str">
        <f>HYPERLINK("https://www.boe.es/gazeta/dias/1818/03/12/pdfs/GMD-1818-31.pdf#page=8","Abrir facsímil")</f>
        <v>Abrir facsímil</v>
      </c>
      <c r="K1041" s="3" t="s">
        <v>38</v>
      </c>
    </row>
    <row r="1042" spans="1:11" ht="42" customHeight="1">
      <c r="A1042" s="2" t="s">
        <v>2662</v>
      </c>
      <c r="B1042" s="2" t="s">
        <v>2663</v>
      </c>
      <c r="C1042" s="2" t="s">
        <v>17</v>
      </c>
      <c r="D1042" s="2" t="s">
        <v>18</v>
      </c>
      <c r="E1042" s="5">
        <v>-29733</v>
      </c>
      <c r="F1042" s="3" t="s">
        <v>482</v>
      </c>
      <c r="G1042" s="3" t="s">
        <v>116</v>
      </c>
      <c r="H1042" s="2" t="s">
        <v>36</v>
      </c>
      <c r="I1042" s="2" t="s">
        <v>2664</v>
      </c>
      <c r="J1042" s="3" t="str">
        <f>HYPERLINK("https://www.boe.es/gazeta/dias/1818/08/04/pdfs/GMD-1818-93.pdf#page=12","Abrir facsímil")</f>
        <v>Abrir facsímil</v>
      </c>
      <c r="K1042" s="3" t="s">
        <v>38</v>
      </c>
    </row>
    <row r="1043" spans="1:11" ht="42" customHeight="1">
      <c r="A1043" s="2" t="s">
        <v>2665</v>
      </c>
      <c r="B1043" s="2" t="s">
        <v>2666</v>
      </c>
      <c r="C1043" s="2" t="s">
        <v>26</v>
      </c>
      <c r="D1043" s="2" t="s">
        <v>27</v>
      </c>
      <c r="E1043" s="5">
        <v>-29778</v>
      </c>
      <c r="F1043" s="3" t="s">
        <v>239</v>
      </c>
      <c r="G1043" s="3" t="s">
        <v>20</v>
      </c>
      <c r="H1043" s="2" t="s">
        <v>36</v>
      </c>
      <c r="I1043" s="2" t="s">
        <v>2667</v>
      </c>
      <c r="J1043" s="3" t="str">
        <f>HYPERLINK("https://www.boe.es/gazeta/dias/1818/06/20/pdfs/GMD-1818-74.pdf#page=7","Abrir facsímil")</f>
        <v>Abrir facsímil</v>
      </c>
      <c r="K1043" s="3" t="s">
        <v>38</v>
      </c>
    </row>
    <row r="1044" spans="1:11" ht="42" customHeight="1">
      <c r="A1044" s="2" t="s">
        <v>2668</v>
      </c>
      <c r="B1044" s="2" t="s">
        <v>2669</v>
      </c>
      <c r="C1044" s="2" t="s">
        <v>68</v>
      </c>
      <c r="D1044" s="2" t="s">
        <v>69</v>
      </c>
      <c r="E1044" s="5">
        <v>-29638</v>
      </c>
      <c r="F1044" s="3" t="s">
        <v>307</v>
      </c>
      <c r="G1044" s="3" t="s">
        <v>20</v>
      </c>
      <c r="H1044" s="2" t="s">
        <v>36</v>
      </c>
      <c r="I1044" s="2" t="s">
        <v>2670</v>
      </c>
      <c r="J1044" s="3" t="str">
        <f>HYPERLINK("https://www.boe.es/gazeta/dias/1818/11/07/pdfs/GMD-1818-135.pdf#page=7","Abrir facsímil")</f>
        <v>Abrir facsímil</v>
      </c>
      <c r="K1044" s="3" t="s">
        <v>38</v>
      </c>
    </row>
    <row r="1045" spans="1:11" ht="42" customHeight="1">
      <c r="A1045" s="2" t="s">
        <v>2671</v>
      </c>
      <c r="B1045" s="2" t="s">
        <v>2672</v>
      </c>
      <c r="C1045" s="2" t="s">
        <v>26</v>
      </c>
      <c r="D1045" s="2" t="s">
        <v>27</v>
      </c>
      <c r="E1045" s="5">
        <v>-29719</v>
      </c>
      <c r="F1045" s="3" t="s">
        <v>243</v>
      </c>
      <c r="G1045" s="3" t="s">
        <v>59</v>
      </c>
      <c r="H1045" s="2" t="s">
        <v>36</v>
      </c>
      <c r="I1045" s="2" t="s">
        <v>2673</v>
      </c>
      <c r="J1045" s="3" t="str">
        <f>HYPERLINK("https://www.boe.es/gazeta/dias/1818/08/18/pdfs/GMD-1818-99.pdf#page=6","Abrir facsímil")</f>
        <v>Abrir facsímil</v>
      </c>
      <c r="K1045" s="3" t="s">
        <v>38</v>
      </c>
    </row>
    <row r="1046" spans="1:11" ht="42" customHeight="1">
      <c r="A1046" s="2" t="s">
        <v>2674</v>
      </c>
      <c r="B1046" s="2" t="s">
        <v>2675</v>
      </c>
      <c r="C1046" s="2" t="s">
        <v>26</v>
      </c>
      <c r="D1046" s="2" t="s">
        <v>27</v>
      </c>
      <c r="E1046" s="5">
        <v>-29904</v>
      </c>
      <c r="F1046" s="3" t="s">
        <v>451</v>
      </c>
      <c r="G1046" s="3" t="s">
        <v>20</v>
      </c>
      <c r="H1046" s="2" t="s">
        <v>36</v>
      </c>
      <c r="I1046" s="2" t="s">
        <v>2676</v>
      </c>
      <c r="J1046" s="3" t="str">
        <f>HYPERLINK("https://www.boe.es/gazeta/dias/1818/02/14/pdfs/GMD-1818-20.pdf#page=7","Abrir facsímil")</f>
        <v>Abrir facsímil</v>
      </c>
      <c r="K1046" s="3" t="s">
        <v>38</v>
      </c>
    </row>
    <row r="1047" spans="1:11" ht="42" customHeight="1">
      <c r="A1047" s="2" t="s">
        <v>2677</v>
      </c>
      <c r="B1047" s="2" t="s">
        <v>2678</v>
      </c>
      <c r="C1047" s="2" t="s">
        <v>17</v>
      </c>
      <c r="D1047" s="2" t="s">
        <v>18</v>
      </c>
      <c r="E1047" s="5">
        <v>-29801</v>
      </c>
      <c r="F1047" s="3" t="s">
        <v>288</v>
      </c>
      <c r="G1047" s="3" t="s">
        <v>49</v>
      </c>
      <c r="H1047" s="2" t="s">
        <v>36</v>
      </c>
      <c r="I1047" s="2" t="s">
        <v>2679</v>
      </c>
      <c r="J1047" s="3" t="str">
        <f>HYPERLINK("https://www.boe.es/gazeta/dias/1818/05/28/pdfs/GMD-1818-64.pdf#page=1","Abrir facsímil")</f>
        <v>Abrir facsímil</v>
      </c>
      <c r="K1047" s="3" t="s">
        <v>38</v>
      </c>
    </row>
    <row r="1048" spans="1:11" ht="42" customHeight="1">
      <c r="A1048" s="2" t="s">
        <v>2680</v>
      </c>
      <c r="B1048" s="2" t="s">
        <v>2681</v>
      </c>
      <c r="C1048" s="2" t="s">
        <v>17</v>
      </c>
      <c r="D1048" s="2" t="s">
        <v>18</v>
      </c>
      <c r="E1048" s="5">
        <v>-29801</v>
      </c>
      <c r="F1048" s="3" t="s">
        <v>288</v>
      </c>
      <c r="G1048" s="3" t="s">
        <v>49</v>
      </c>
      <c r="H1048" s="2" t="s">
        <v>36</v>
      </c>
      <c r="I1048" s="2" t="s">
        <v>2682</v>
      </c>
      <c r="J1048" s="3" t="str">
        <f>HYPERLINK("https://www.boe.es/gazeta/dias/1818/05/28/pdfs/GMD-1818-64.pdf#page=1","Abrir facsímil")</f>
        <v>Abrir facsímil</v>
      </c>
      <c r="K1048" s="3" t="s">
        <v>38</v>
      </c>
    </row>
    <row r="1049" spans="1:11" ht="42" customHeight="1">
      <c r="A1049" s="2" t="s">
        <v>2683</v>
      </c>
      <c r="B1049" s="2" t="s">
        <v>2684</v>
      </c>
      <c r="C1049" s="2" t="s">
        <v>17</v>
      </c>
      <c r="D1049" s="2" t="s">
        <v>18</v>
      </c>
      <c r="E1049" s="5">
        <v>-29773</v>
      </c>
      <c r="F1049" s="3" t="s">
        <v>424</v>
      </c>
      <c r="G1049" s="3" t="s">
        <v>106</v>
      </c>
      <c r="H1049" s="2" t="s">
        <v>36</v>
      </c>
      <c r="I1049" s="2" t="s">
        <v>2685</v>
      </c>
      <c r="J1049" s="3" t="str">
        <f>HYPERLINK("https://www.boe.es/gazeta/dias/1818/06/25/pdfs/GMD-1818-76.pdf#page=5","Abrir facsímil")</f>
        <v>Abrir facsímil</v>
      </c>
      <c r="K1049" s="3" t="s">
        <v>38</v>
      </c>
    </row>
    <row r="1050" spans="1:11" ht="42" customHeight="1">
      <c r="A1050" s="2" t="s">
        <v>2686</v>
      </c>
      <c r="B1050" s="2" t="s">
        <v>2686</v>
      </c>
      <c r="C1050" s="2" t="s">
        <v>17</v>
      </c>
      <c r="D1050" s="2" t="s">
        <v>18</v>
      </c>
      <c r="E1050" s="5">
        <v>-29668</v>
      </c>
      <c r="F1050" s="3" t="s">
        <v>2219</v>
      </c>
      <c r="G1050" s="3" t="s">
        <v>85</v>
      </c>
      <c r="H1050" s="2" t="s">
        <v>36</v>
      </c>
      <c r="I1050" s="2" t="s">
        <v>2687</v>
      </c>
      <c r="J1050" s="3" t="str">
        <f>HYPERLINK("https://www.boe.es/gazeta/dias/1818/10/08/pdfs/GMD-1818-121.pdf#page=3","Abrir facsímil")</f>
        <v>Abrir facsímil</v>
      </c>
      <c r="K1050" s="3" t="s">
        <v>38</v>
      </c>
    </row>
    <row r="1051" spans="1:11" ht="42" customHeight="1">
      <c r="A1051" s="2" t="s">
        <v>2688</v>
      </c>
      <c r="B1051" s="2" t="s">
        <v>2689</v>
      </c>
      <c r="C1051" s="2" t="s">
        <v>26</v>
      </c>
      <c r="D1051" s="2" t="s">
        <v>27</v>
      </c>
      <c r="E1051" s="5">
        <v>-29680</v>
      </c>
      <c r="F1051" s="3" t="s">
        <v>865</v>
      </c>
      <c r="G1051" s="3" t="s">
        <v>85</v>
      </c>
      <c r="H1051" s="2" t="s">
        <v>36</v>
      </c>
      <c r="I1051" s="2" t="s">
        <v>2690</v>
      </c>
      <c r="J1051" s="3" t="str">
        <f>HYPERLINK("https://www.boe.es/gazeta/dias/1818/09/26/pdfs/GMD-1818-116.pdf#page=3","Abrir facsímil")</f>
        <v>Abrir facsímil</v>
      </c>
      <c r="K1051" s="3" t="s">
        <v>38</v>
      </c>
    </row>
    <row r="1052" spans="1:11" ht="42" customHeight="1">
      <c r="A1052" s="2" t="s">
        <v>2688</v>
      </c>
      <c r="B1052" s="2" t="s">
        <v>2689</v>
      </c>
      <c r="C1052" s="2" t="s">
        <v>26</v>
      </c>
      <c r="D1052" s="2" t="s">
        <v>27</v>
      </c>
      <c r="E1052" s="5">
        <v>-29680</v>
      </c>
      <c r="F1052" s="3" t="s">
        <v>865</v>
      </c>
      <c r="G1052" s="3" t="s">
        <v>29</v>
      </c>
      <c r="H1052" s="2" t="s">
        <v>36</v>
      </c>
      <c r="I1052" s="2" t="s">
        <v>2691</v>
      </c>
      <c r="J1052" s="3" t="str">
        <f>HYPERLINK("https://www.boe.es/gazeta/dias/1818/09/26/pdfs/GMD-1818-116.pdf#page=4","Abrir facsímil")</f>
        <v>Abrir facsímil</v>
      </c>
      <c r="K1052" s="3" t="s">
        <v>38</v>
      </c>
    </row>
    <row r="1053" spans="1:11" ht="42" customHeight="1">
      <c r="A1053" s="2" t="s">
        <v>2688</v>
      </c>
      <c r="B1053" s="2" t="s">
        <v>2689</v>
      </c>
      <c r="C1053" s="2" t="s">
        <v>26</v>
      </c>
      <c r="D1053" s="2" t="s">
        <v>27</v>
      </c>
      <c r="E1053" s="5">
        <v>-29680</v>
      </c>
      <c r="F1053" s="3" t="s">
        <v>865</v>
      </c>
      <c r="G1053" s="3" t="s">
        <v>106</v>
      </c>
      <c r="H1053" s="2" t="s">
        <v>36</v>
      </c>
      <c r="I1053" s="2" t="s">
        <v>2692</v>
      </c>
      <c r="J1053" s="3" t="str">
        <f>HYPERLINK("https://www.boe.es/gazeta/dias/1818/09/26/pdfs/GMD-1818-116.pdf#page=5","Abrir facsímil")</f>
        <v>Abrir facsímil</v>
      </c>
      <c r="K1053" s="3" t="s">
        <v>38</v>
      </c>
    </row>
    <row r="1054" spans="1:11" ht="42" customHeight="1">
      <c r="A1054" s="2" t="s">
        <v>2688</v>
      </c>
      <c r="B1054" s="2" t="s">
        <v>2689</v>
      </c>
      <c r="C1054" s="2" t="s">
        <v>26</v>
      </c>
      <c r="D1054" s="2" t="s">
        <v>27</v>
      </c>
      <c r="E1054" s="5">
        <v>-29680</v>
      </c>
      <c r="F1054" s="3" t="s">
        <v>865</v>
      </c>
      <c r="G1054" s="3" t="s">
        <v>59</v>
      </c>
      <c r="H1054" s="2" t="s">
        <v>36</v>
      </c>
      <c r="I1054" s="2" t="s">
        <v>2693</v>
      </c>
      <c r="J1054" s="3" t="str">
        <f>HYPERLINK("https://www.boe.es/gazeta/dias/1818/09/26/pdfs/GMD-1818-116.pdf#page=6","Abrir facsímil")</f>
        <v>Abrir facsímil</v>
      </c>
      <c r="K1054" s="3" t="s">
        <v>38</v>
      </c>
    </row>
    <row r="1055" spans="1:11" ht="42" customHeight="1">
      <c r="A1055" s="2" t="s">
        <v>2694</v>
      </c>
      <c r="B1055" s="2" t="s">
        <v>2695</v>
      </c>
      <c r="C1055" s="2" t="s">
        <v>33</v>
      </c>
      <c r="D1055" s="2" t="s">
        <v>18</v>
      </c>
      <c r="E1055" s="5">
        <v>-29698</v>
      </c>
      <c r="F1055" s="3" t="s">
        <v>148</v>
      </c>
      <c r="G1055" s="3" t="s">
        <v>29</v>
      </c>
      <c r="H1055" s="2" t="s">
        <v>36</v>
      </c>
      <c r="I1055" s="2" t="s">
        <v>2696</v>
      </c>
      <c r="J1055" s="3" t="str">
        <f>HYPERLINK("https://www.boe.es/gazeta/dias/1818/09/08/pdfs/GMD-1818-108.pdf#page=4","Abrir facsímil")</f>
        <v>Abrir facsímil</v>
      </c>
      <c r="K1055" s="3" t="s">
        <v>38</v>
      </c>
    </row>
    <row r="1056" spans="1:11" ht="42" customHeight="1">
      <c r="A1056" s="2" t="s">
        <v>2697</v>
      </c>
      <c r="B1056" s="2" t="s">
        <v>2698</v>
      </c>
      <c r="C1056" s="2" t="s">
        <v>26</v>
      </c>
      <c r="D1056" s="2" t="s">
        <v>27</v>
      </c>
      <c r="E1056" s="5">
        <v>-29920</v>
      </c>
      <c r="F1056" s="3" t="s">
        <v>201</v>
      </c>
      <c r="G1056" s="3" t="s">
        <v>111</v>
      </c>
      <c r="H1056" s="2" t="s">
        <v>36</v>
      </c>
      <c r="I1056" s="2" t="s">
        <v>2699</v>
      </c>
      <c r="J1056" s="3" t="str">
        <f>HYPERLINK("https://www.boe.es/gazeta/dias/1818/01/29/pdfs/GMD-1818-13.pdf#page=11","Abrir facsímil")</f>
        <v>Abrir facsímil</v>
      </c>
      <c r="K1056" s="3" t="s">
        <v>38</v>
      </c>
    </row>
    <row r="1057" spans="1:11" ht="42" customHeight="1">
      <c r="A1057" s="2" t="s">
        <v>2700</v>
      </c>
      <c r="B1057" s="2" t="s">
        <v>2700</v>
      </c>
      <c r="C1057" s="2" t="s">
        <v>26</v>
      </c>
      <c r="D1057" s="2" t="s">
        <v>27</v>
      </c>
      <c r="E1057" s="5">
        <v>-29824</v>
      </c>
      <c r="F1057" s="3" t="s">
        <v>101</v>
      </c>
      <c r="G1057" s="3" t="s">
        <v>49</v>
      </c>
      <c r="H1057" s="2" t="s">
        <v>36</v>
      </c>
      <c r="I1057" s="2" t="s">
        <v>2701</v>
      </c>
      <c r="J1057" s="3" t="str">
        <f>HYPERLINK("https://www.boe.es/gazeta/dias/1818/05/05/pdfs/GMD-1818-54.pdf#page=1","Abrir facsímil")</f>
        <v>Abrir facsímil</v>
      </c>
      <c r="K1057" s="3" t="s">
        <v>38</v>
      </c>
    </row>
    <row r="1058" spans="1:11" ht="42" customHeight="1">
      <c r="A1058" s="2" t="s">
        <v>2702</v>
      </c>
      <c r="B1058" s="2" t="s">
        <v>2703</v>
      </c>
      <c r="C1058" s="2" t="s">
        <v>68</v>
      </c>
      <c r="D1058" s="2" t="s">
        <v>69</v>
      </c>
      <c r="E1058" s="5">
        <v>-29752</v>
      </c>
      <c r="F1058" s="3" t="s">
        <v>165</v>
      </c>
      <c r="G1058" s="3" t="s">
        <v>59</v>
      </c>
      <c r="H1058" s="2" t="s">
        <v>36</v>
      </c>
      <c r="I1058" s="2" t="s">
        <v>2704</v>
      </c>
      <c r="J1058" s="3" t="str">
        <f>HYPERLINK("https://www.boe.es/gazeta/dias/1818/07/16/pdfs/GMD-1818-85.pdf#page=6","Abrir facsímil")</f>
        <v>Abrir facsímil</v>
      </c>
      <c r="K1058" s="3" t="s">
        <v>38</v>
      </c>
    </row>
    <row r="1059" spans="1:11" ht="42" customHeight="1">
      <c r="A1059" s="2" t="s">
        <v>2705</v>
      </c>
      <c r="B1059" s="2" t="s">
        <v>2705</v>
      </c>
      <c r="C1059" s="2" t="s">
        <v>26</v>
      </c>
      <c r="D1059" s="2" t="s">
        <v>27</v>
      </c>
      <c r="E1059" s="5">
        <v>-29918</v>
      </c>
      <c r="F1059" s="3" t="s">
        <v>89</v>
      </c>
      <c r="G1059" s="3" t="s">
        <v>1492</v>
      </c>
      <c r="H1059" s="2" t="s">
        <v>36</v>
      </c>
      <c r="I1059" s="2" t="s">
        <v>2706</v>
      </c>
      <c r="J1059" s="3" t="str">
        <f>HYPERLINK("https://www.boe.es/gazeta/dias/1818/01/31/pdfs/GMD-1818-14.pdf#page=6","Abrir facsímil")</f>
        <v>Abrir facsímil</v>
      </c>
      <c r="K1059" s="3" t="s">
        <v>38</v>
      </c>
    </row>
    <row r="1060" spans="1:11" ht="42" customHeight="1">
      <c r="A1060" s="2" t="s">
        <v>2707</v>
      </c>
      <c r="B1060" s="2" t="s">
        <v>2708</v>
      </c>
      <c r="C1060" s="2" t="s">
        <v>26</v>
      </c>
      <c r="D1060" s="2" t="s">
        <v>27</v>
      </c>
      <c r="E1060" s="5">
        <v>-29918</v>
      </c>
      <c r="F1060" s="3" t="s">
        <v>89</v>
      </c>
      <c r="G1060" s="3" t="s">
        <v>1492</v>
      </c>
      <c r="H1060" s="2" t="s">
        <v>36</v>
      </c>
      <c r="I1060" s="2" t="s">
        <v>2709</v>
      </c>
      <c r="J1060" s="3" t="str">
        <f>HYPERLINK("https://www.boe.es/gazeta/dias/1818/01/31/pdfs/GMD-1818-14.pdf#page=6","Abrir facsímil")</f>
        <v>Abrir facsímil</v>
      </c>
      <c r="K1060" s="3" t="s">
        <v>38</v>
      </c>
    </row>
    <row r="1061" spans="1:11" ht="42" customHeight="1">
      <c r="A1061" s="2" t="s">
        <v>2710</v>
      </c>
      <c r="B1061" s="2" t="s">
        <v>2710</v>
      </c>
      <c r="C1061" s="2" t="s">
        <v>26</v>
      </c>
      <c r="D1061" s="2" t="s">
        <v>27</v>
      </c>
      <c r="E1061" s="5">
        <v>-29743</v>
      </c>
      <c r="F1061" s="3" t="s">
        <v>734</v>
      </c>
      <c r="G1061" s="3" t="s">
        <v>49</v>
      </c>
      <c r="H1061" s="2" t="s">
        <v>36</v>
      </c>
      <c r="I1061" s="2" t="s">
        <v>2711</v>
      </c>
      <c r="J1061" s="3" t="str">
        <f>HYPERLINK("https://www.boe.es/gazeta/dias/1818/07/25/pdfs/GMD-1818-89.pdf#page=1","Abrir facsímil")</f>
        <v>Abrir facsímil</v>
      </c>
      <c r="K1061" s="3" t="s">
        <v>38</v>
      </c>
    </row>
    <row r="1062" spans="1:11" ht="42" customHeight="1">
      <c r="A1062" s="2" t="s">
        <v>2712</v>
      </c>
      <c r="B1062" s="2" t="s">
        <v>2713</v>
      </c>
      <c r="C1062" s="2" t="s">
        <v>26</v>
      </c>
      <c r="D1062" s="2" t="s">
        <v>27</v>
      </c>
      <c r="E1062" s="5">
        <v>-29710</v>
      </c>
      <c r="F1062" s="3" t="s">
        <v>1026</v>
      </c>
      <c r="G1062" s="3" t="s">
        <v>20</v>
      </c>
      <c r="H1062" s="2" t="s">
        <v>36</v>
      </c>
      <c r="I1062" s="2" t="s">
        <v>2714</v>
      </c>
      <c r="J1062" s="3" t="str">
        <f>HYPERLINK("https://www.boe.es/gazeta/dias/1818/08/27/pdfs/GMD-1818-103.pdf#page=7","Abrir facsímil")</f>
        <v>Abrir facsímil</v>
      </c>
      <c r="K1062" s="3" t="s">
        <v>38</v>
      </c>
    </row>
    <row r="1063" spans="1:11" ht="42" customHeight="1">
      <c r="A1063" s="2" t="s">
        <v>2715</v>
      </c>
      <c r="B1063" s="2" t="s">
        <v>2715</v>
      </c>
      <c r="C1063" s="2" t="s">
        <v>26</v>
      </c>
      <c r="D1063" s="2" t="s">
        <v>27</v>
      </c>
      <c r="E1063" s="5">
        <v>-29649</v>
      </c>
      <c r="F1063" s="3" t="s">
        <v>585</v>
      </c>
      <c r="G1063" s="3" t="s">
        <v>59</v>
      </c>
      <c r="H1063" s="2" t="s">
        <v>36</v>
      </c>
      <c r="I1063" s="2" t="s">
        <v>2716</v>
      </c>
      <c r="J1063" s="3" t="str">
        <f>HYPERLINK("https://www.boe.es/gazeta/dias/1818/10/27/pdfs/GMD-1818-130.pdf#page=6","Abrir facsímil")</f>
        <v>Abrir facsímil</v>
      </c>
      <c r="K1063" s="3" t="s">
        <v>38</v>
      </c>
    </row>
    <row r="1064" spans="1:11" ht="42" customHeight="1">
      <c r="A1064" s="2" t="s">
        <v>2717</v>
      </c>
      <c r="B1064" s="2" t="s">
        <v>2717</v>
      </c>
      <c r="C1064" s="2" t="s">
        <v>17</v>
      </c>
      <c r="D1064" s="2" t="s">
        <v>18</v>
      </c>
      <c r="E1064" s="5">
        <v>-29934</v>
      </c>
      <c r="F1064" s="3" t="s">
        <v>53</v>
      </c>
      <c r="G1064" s="3" t="s">
        <v>45</v>
      </c>
      <c r="H1064" s="2" t="s">
        <v>36</v>
      </c>
      <c r="I1064" s="2" t="s">
        <v>2718</v>
      </c>
      <c r="J1064" s="3" t="str">
        <f>HYPERLINK("https://www.boe.es/gazeta/dias/1818/01/15/pdfs/GMD-1818-7.pdf#page=8","Abrir facsímil")</f>
        <v>Abrir facsímil</v>
      </c>
      <c r="K1064" s="3" t="s">
        <v>38</v>
      </c>
    </row>
    <row r="1065" spans="1:11" ht="42" customHeight="1">
      <c r="A1065" s="2" t="s">
        <v>2719</v>
      </c>
      <c r="B1065" s="2" t="s">
        <v>2720</v>
      </c>
      <c r="C1065" s="2" t="s">
        <v>17</v>
      </c>
      <c r="D1065" s="2" t="s">
        <v>18</v>
      </c>
      <c r="E1065" s="5">
        <v>-29752</v>
      </c>
      <c r="F1065" s="3" t="s">
        <v>165</v>
      </c>
      <c r="G1065" s="3" t="s">
        <v>20</v>
      </c>
      <c r="H1065" s="2" t="s">
        <v>36</v>
      </c>
      <c r="I1065" s="2" t="s">
        <v>2721</v>
      </c>
      <c r="J1065" s="3" t="str">
        <f>HYPERLINK("https://www.boe.es/gazeta/dias/1818/07/16/pdfs/GMD-1818-85.pdf#page=7","Abrir facsímil")</f>
        <v>Abrir facsímil</v>
      </c>
      <c r="K1065" s="3" t="s">
        <v>38</v>
      </c>
    </row>
    <row r="1066" spans="1:11" ht="42" customHeight="1">
      <c r="A1066" s="2" t="s">
        <v>2722</v>
      </c>
      <c r="B1066" s="2" t="s">
        <v>2723</v>
      </c>
      <c r="C1066" s="2" t="s">
        <v>26</v>
      </c>
      <c r="D1066" s="2" t="s">
        <v>27</v>
      </c>
      <c r="E1066" s="5">
        <v>-29689</v>
      </c>
      <c r="F1066" s="3" t="s">
        <v>303</v>
      </c>
      <c r="G1066" s="3" t="s">
        <v>20</v>
      </c>
      <c r="H1066" s="2" t="s">
        <v>36</v>
      </c>
      <c r="I1066" s="2" t="s">
        <v>2724</v>
      </c>
      <c r="J1066" s="3" t="str">
        <f>HYPERLINK("https://www.boe.es/gazeta/dias/1818/09/17/pdfs/GMD-1818-112.pdf#page=7","Abrir facsímil")</f>
        <v>Abrir facsímil</v>
      </c>
      <c r="K1066" s="3" t="s">
        <v>38</v>
      </c>
    </row>
    <row r="1067" spans="1:11" ht="42" customHeight="1">
      <c r="A1067" s="2" t="s">
        <v>2722</v>
      </c>
      <c r="B1067" s="2" t="s">
        <v>2723</v>
      </c>
      <c r="C1067" s="2" t="s">
        <v>17</v>
      </c>
      <c r="D1067" s="2" t="s">
        <v>668</v>
      </c>
      <c r="E1067" s="5">
        <v>-29661</v>
      </c>
      <c r="F1067" s="3" t="s">
        <v>669</v>
      </c>
      <c r="G1067" s="3" t="s">
        <v>85</v>
      </c>
      <c r="H1067" s="2" t="s">
        <v>36</v>
      </c>
      <c r="I1067" s="2" t="s">
        <v>2725</v>
      </c>
      <c r="J1067" s="3" t="str">
        <f>HYPERLINK("https://www.boe.es/gazeta/dias/1818/10/15/pdfs/GMD-1818-125E.pdf#page=3","Abrir facsímil")</f>
        <v>Abrir facsímil</v>
      </c>
      <c r="K1067" s="3" t="s">
        <v>38</v>
      </c>
    </row>
    <row r="1068" spans="1:11" ht="42" customHeight="1">
      <c r="A1068" s="2" t="s">
        <v>2726</v>
      </c>
      <c r="B1068" s="2" t="s">
        <v>2727</v>
      </c>
      <c r="C1068" s="2" t="s">
        <v>26</v>
      </c>
      <c r="D1068" s="2" t="s">
        <v>27</v>
      </c>
      <c r="E1068" s="5">
        <v>-29864</v>
      </c>
      <c r="F1068" s="3" t="s">
        <v>196</v>
      </c>
      <c r="G1068" s="3" t="s">
        <v>45</v>
      </c>
      <c r="H1068" s="2" t="s">
        <v>36</v>
      </c>
      <c r="I1068" s="2" t="s">
        <v>2728</v>
      </c>
      <c r="J1068" s="3" t="str">
        <f>HYPERLINK("https://www.boe.es/gazeta/dias/1818/03/26/pdfs/GMD-1818-37.pdf#page=8","Abrir facsímil")</f>
        <v>Abrir facsímil</v>
      </c>
      <c r="K1068" s="3" t="s">
        <v>38</v>
      </c>
    </row>
    <row r="1069" spans="1:11" ht="42" customHeight="1">
      <c r="A1069" s="2" t="s">
        <v>2729</v>
      </c>
      <c r="B1069" s="2" t="s">
        <v>2730</v>
      </c>
      <c r="C1069" s="2" t="s">
        <v>57</v>
      </c>
      <c r="D1069" s="2" t="s">
        <v>18</v>
      </c>
      <c r="E1069" s="5">
        <v>-29694</v>
      </c>
      <c r="F1069" s="3" t="s">
        <v>528</v>
      </c>
      <c r="G1069" s="3" t="s">
        <v>59</v>
      </c>
      <c r="H1069" s="2" t="s">
        <v>36</v>
      </c>
      <c r="I1069" s="2" t="s">
        <v>2731</v>
      </c>
      <c r="J1069" s="3" t="str">
        <f>HYPERLINK("https://www.boe.es/gazeta/dias/1818/09/12/pdfs/GMD-1818-110.pdf#page=6","Abrir facsímil")</f>
        <v>Abrir facsímil</v>
      </c>
      <c r="K1069" s="3" t="s">
        <v>38</v>
      </c>
    </row>
    <row r="1070" spans="1:11" ht="42" customHeight="1">
      <c r="A1070" s="2" t="s">
        <v>2732</v>
      </c>
      <c r="B1070" s="2" t="s">
        <v>2733</v>
      </c>
      <c r="C1070" s="2" t="s">
        <v>215</v>
      </c>
      <c r="D1070" s="2" t="s">
        <v>18</v>
      </c>
      <c r="E1070" s="5">
        <v>-29738</v>
      </c>
      <c r="F1070" s="3" t="s">
        <v>263</v>
      </c>
      <c r="G1070" s="3" t="s">
        <v>503</v>
      </c>
      <c r="H1070" s="2" t="s">
        <v>36</v>
      </c>
      <c r="I1070" s="2" t="s">
        <v>2734</v>
      </c>
      <c r="J1070" s="3" t="str">
        <f>HYPERLINK("https://www.boe.es/gazeta/dias/1818/07/30/pdfs/GMD-1818-91.pdf#page=10","Abrir facsímil")</f>
        <v>Abrir facsímil</v>
      </c>
      <c r="K1070" s="3" t="s">
        <v>38</v>
      </c>
    </row>
    <row r="1071" spans="1:11" ht="42" customHeight="1">
      <c r="A1071" s="2" t="s">
        <v>2735</v>
      </c>
      <c r="B1071" s="2" t="s">
        <v>2736</v>
      </c>
      <c r="C1071" s="2" t="s">
        <v>68</v>
      </c>
      <c r="D1071" s="2" t="s">
        <v>69</v>
      </c>
      <c r="E1071" s="5">
        <v>-29738</v>
      </c>
      <c r="F1071" s="3" t="s">
        <v>263</v>
      </c>
      <c r="G1071" s="3" t="s">
        <v>116</v>
      </c>
      <c r="H1071" s="2" t="s">
        <v>36</v>
      </c>
      <c r="I1071" s="2" t="s">
        <v>2737</v>
      </c>
      <c r="J1071" s="3" t="str">
        <f>HYPERLINK("https://www.boe.es/gazeta/dias/1818/07/30/pdfs/GMD-1818-91.pdf#page=12","Abrir facsímil")</f>
        <v>Abrir facsímil</v>
      </c>
      <c r="K1071" s="3" t="s">
        <v>38</v>
      </c>
    </row>
    <row r="1072" spans="1:11" ht="42" customHeight="1">
      <c r="A1072" s="2" t="s">
        <v>2738</v>
      </c>
      <c r="B1072" s="2" t="s">
        <v>2739</v>
      </c>
      <c r="C1072" s="2" t="s">
        <v>26</v>
      </c>
      <c r="D1072" s="2" t="s">
        <v>27</v>
      </c>
      <c r="E1072" s="5">
        <v>-29626</v>
      </c>
      <c r="F1072" s="3" t="s">
        <v>496</v>
      </c>
      <c r="G1072" s="3" t="s">
        <v>59</v>
      </c>
      <c r="H1072" s="2" t="s">
        <v>36</v>
      </c>
      <c r="I1072" s="2" t="s">
        <v>2740</v>
      </c>
      <c r="J1072" s="3" t="str">
        <f>HYPERLINK("https://www.boe.es/gazeta/dias/1818/11/19/pdfs/GMD-1818-140.pdf#page=6","Abrir facsímil")</f>
        <v>Abrir facsímil</v>
      </c>
      <c r="K1072" s="3" t="s">
        <v>38</v>
      </c>
    </row>
    <row r="1073" spans="1:11" ht="42" customHeight="1">
      <c r="A1073" s="2" t="s">
        <v>2741</v>
      </c>
      <c r="B1073" s="2" t="s">
        <v>2742</v>
      </c>
      <c r="C1073" s="2" t="s">
        <v>17</v>
      </c>
      <c r="D1073" s="2" t="s">
        <v>18</v>
      </c>
      <c r="E1073" s="5">
        <v>-29708</v>
      </c>
      <c r="F1073" s="3" t="s">
        <v>413</v>
      </c>
      <c r="G1073" s="3" t="s">
        <v>106</v>
      </c>
      <c r="H1073" s="2" t="s">
        <v>36</v>
      </c>
      <c r="I1073" s="2" t="s">
        <v>2743</v>
      </c>
      <c r="J1073" s="3" t="str">
        <f>HYPERLINK("https://www.boe.es/gazeta/dias/1818/08/29/pdfs/GMD-1818-104.pdf#page=5","Abrir facsímil")</f>
        <v>Abrir facsímil</v>
      </c>
      <c r="K1073" s="3" t="s">
        <v>38</v>
      </c>
    </row>
    <row r="1074" spans="1:11" ht="42" customHeight="1">
      <c r="A1074" s="2" t="s">
        <v>2744</v>
      </c>
      <c r="B1074" s="2" t="s">
        <v>2744</v>
      </c>
      <c r="C1074" s="2" t="s">
        <v>26</v>
      </c>
      <c r="D1074" s="2" t="s">
        <v>27</v>
      </c>
      <c r="E1074" s="5">
        <v>-29871</v>
      </c>
      <c r="F1074" s="3" t="s">
        <v>641</v>
      </c>
      <c r="G1074" s="3" t="s">
        <v>120</v>
      </c>
      <c r="H1074" s="2" t="s">
        <v>36</v>
      </c>
      <c r="I1074" s="2" t="s">
        <v>2745</v>
      </c>
      <c r="J1074" s="3" t="str">
        <f>HYPERLINK("https://www.boe.es/gazeta/dias/1818/03/19/pdfs/GMD-1818-34.pdf#page=2","Abrir facsímil")</f>
        <v>Abrir facsímil</v>
      </c>
      <c r="K1074" s="3" t="s">
        <v>38</v>
      </c>
    </row>
    <row r="1075" spans="1:11" ht="42" customHeight="1">
      <c r="A1075" s="2" t="s">
        <v>2746</v>
      </c>
      <c r="B1075" s="2" t="s">
        <v>2746</v>
      </c>
      <c r="C1075" s="2" t="s">
        <v>26</v>
      </c>
      <c r="D1075" s="2" t="s">
        <v>27</v>
      </c>
      <c r="E1075" s="5">
        <v>-29677</v>
      </c>
      <c r="F1075" s="3" t="s">
        <v>157</v>
      </c>
      <c r="G1075" s="3" t="s">
        <v>120</v>
      </c>
      <c r="H1075" s="2" t="s">
        <v>36</v>
      </c>
      <c r="I1075" s="2" t="s">
        <v>2747</v>
      </c>
      <c r="J1075" s="3" t="str">
        <f>HYPERLINK("https://www.boe.es/gazeta/dias/1818/09/29/pdfs/GMD-1818-117.pdf#page=2","Abrir facsímil")</f>
        <v>Abrir facsímil</v>
      </c>
      <c r="K1075" s="3" t="s">
        <v>38</v>
      </c>
    </row>
    <row r="1076" spans="1:11" ht="42" customHeight="1">
      <c r="A1076" s="2" t="s">
        <v>2746</v>
      </c>
      <c r="B1076" s="2" t="s">
        <v>2746</v>
      </c>
      <c r="C1076" s="2" t="s">
        <v>26</v>
      </c>
      <c r="D1076" s="2" t="s">
        <v>27</v>
      </c>
      <c r="E1076" s="5">
        <v>-29586</v>
      </c>
      <c r="F1076" s="3" t="s">
        <v>683</v>
      </c>
      <c r="G1076" s="3" t="s">
        <v>59</v>
      </c>
      <c r="H1076" s="2" t="s">
        <v>36</v>
      </c>
      <c r="I1076" s="2" t="s">
        <v>2748</v>
      </c>
      <c r="J1076" s="3" t="str">
        <f>HYPERLINK("https://www.boe.es/gazeta/dias/1818/12/29/pdfs/GMD-1818-158.pdf#page=6","Abrir facsímil")</f>
        <v>Abrir facsímil</v>
      </c>
      <c r="K1076" s="3" t="s">
        <v>38</v>
      </c>
    </row>
    <row r="1077" spans="1:11" ht="42" customHeight="1">
      <c r="A1077" s="2" t="s">
        <v>2749</v>
      </c>
      <c r="B1077" s="2" t="s">
        <v>2749</v>
      </c>
      <c r="C1077" s="2" t="s">
        <v>63</v>
      </c>
      <c r="D1077" s="2" t="s">
        <v>18</v>
      </c>
      <c r="E1077" s="5">
        <v>-29628</v>
      </c>
      <c r="F1077" s="3" t="s">
        <v>58</v>
      </c>
      <c r="G1077" s="3" t="s">
        <v>20</v>
      </c>
      <c r="H1077" s="2" t="s">
        <v>36</v>
      </c>
      <c r="I1077" s="2" t="s">
        <v>2750</v>
      </c>
      <c r="J1077" s="3" t="str">
        <f>HYPERLINK("https://www.boe.es/gazeta/dias/1818/11/17/pdfs/GMD-1818-139.pdf#page=7","Abrir facsímil")</f>
        <v>Abrir facsímil</v>
      </c>
      <c r="K1077" s="3" t="s">
        <v>38</v>
      </c>
    </row>
    <row r="1078" spans="1:11" ht="42" customHeight="1">
      <c r="A1078" s="2" t="s">
        <v>2751</v>
      </c>
      <c r="B1078" s="2" t="s">
        <v>2752</v>
      </c>
      <c r="C1078" s="2" t="s">
        <v>63</v>
      </c>
      <c r="D1078" s="2" t="s">
        <v>18</v>
      </c>
      <c r="E1078" s="5">
        <v>-29778</v>
      </c>
      <c r="F1078" s="3" t="s">
        <v>239</v>
      </c>
      <c r="G1078" s="3" t="s">
        <v>45</v>
      </c>
      <c r="H1078" s="2" t="s">
        <v>36</v>
      </c>
      <c r="I1078" s="2" t="s">
        <v>2753</v>
      </c>
      <c r="J1078" s="3" t="str">
        <f>HYPERLINK("https://www.boe.es/gazeta/dias/1818/06/20/pdfs/GMD-1818-74.pdf#page=8","Abrir facsímil")</f>
        <v>Abrir facsímil</v>
      </c>
      <c r="K1078" s="3" t="s">
        <v>38</v>
      </c>
    </row>
    <row r="1079" spans="1:11" ht="42" customHeight="1">
      <c r="A1079" s="2" t="s">
        <v>2754</v>
      </c>
      <c r="B1079" s="2" t="s">
        <v>2754</v>
      </c>
      <c r="C1079" s="2" t="s">
        <v>26</v>
      </c>
      <c r="D1079" s="2" t="s">
        <v>27</v>
      </c>
      <c r="E1079" s="5">
        <v>-29920</v>
      </c>
      <c r="F1079" s="3" t="s">
        <v>201</v>
      </c>
      <c r="G1079" s="3" t="s">
        <v>120</v>
      </c>
      <c r="H1079" s="2" t="s">
        <v>36</v>
      </c>
      <c r="I1079" s="2" t="s">
        <v>2755</v>
      </c>
      <c r="J1079" s="3" t="str">
        <f>HYPERLINK("https://www.boe.es/gazeta/dias/1818/01/29/pdfs/GMD-1818-13.pdf#page=2","Abrir facsímil")</f>
        <v>Abrir facsímil</v>
      </c>
      <c r="K1079" s="3" t="s">
        <v>38</v>
      </c>
    </row>
    <row r="1080" spans="1:11" ht="42" customHeight="1">
      <c r="A1080" s="2" t="s">
        <v>2756</v>
      </c>
      <c r="B1080" s="2" t="s">
        <v>2756</v>
      </c>
      <c r="C1080" s="2" t="s">
        <v>26</v>
      </c>
      <c r="D1080" s="2" t="s">
        <v>27</v>
      </c>
      <c r="E1080" s="5">
        <v>-29680</v>
      </c>
      <c r="F1080" s="3" t="s">
        <v>865</v>
      </c>
      <c r="G1080" s="3" t="s">
        <v>45</v>
      </c>
      <c r="H1080" s="2" t="s">
        <v>36</v>
      </c>
      <c r="I1080" s="2" t="s">
        <v>2757</v>
      </c>
      <c r="J1080" s="3" t="str">
        <f>HYPERLINK("https://www.boe.es/gazeta/dias/1818/09/26/pdfs/GMD-1818-116.pdf#page=8","Abrir facsímil")</f>
        <v>Abrir facsímil</v>
      </c>
      <c r="K1080" s="3" t="s">
        <v>38</v>
      </c>
    </row>
    <row r="1081" spans="1:11" ht="42" customHeight="1">
      <c r="A1081" s="2" t="s">
        <v>2758</v>
      </c>
      <c r="B1081" s="2" t="s">
        <v>2758</v>
      </c>
      <c r="C1081" s="2" t="s">
        <v>68</v>
      </c>
      <c r="D1081" s="2" t="s">
        <v>69</v>
      </c>
      <c r="E1081" s="5">
        <v>-29843</v>
      </c>
      <c r="F1081" s="3" t="s">
        <v>182</v>
      </c>
      <c r="G1081" s="3" t="s">
        <v>45</v>
      </c>
      <c r="H1081" s="2" t="s">
        <v>36</v>
      </c>
      <c r="I1081" s="2" t="s">
        <v>2759</v>
      </c>
      <c r="J1081" s="3" t="str">
        <f>HYPERLINK("https://www.boe.es/gazeta/dias/1818/04/16/pdfs/GMD-1818-46.pdf#page=8","Abrir facsímil")</f>
        <v>Abrir facsímil</v>
      </c>
      <c r="K1081" s="3" t="s">
        <v>38</v>
      </c>
    </row>
    <row r="1082" spans="1:11" ht="42" customHeight="1">
      <c r="A1082" s="2" t="s">
        <v>2760</v>
      </c>
      <c r="B1082" s="2" t="s">
        <v>2761</v>
      </c>
      <c r="C1082" s="2" t="s">
        <v>17</v>
      </c>
      <c r="D1082" s="2" t="s">
        <v>18</v>
      </c>
      <c r="E1082" s="5">
        <v>-29708</v>
      </c>
      <c r="F1082" s="3" t="s">
        <v>413</v>
      </c>
      <c r="G1082" s="3" t="s">
        <v>106</v>
      </c>
      <c r="H1082" s="2" t="s">
        <v>36</v>
      </c>
      <c r="I1082" s="2" t="s">
        <v>2762</v>
      </c>
      <c r="J1082" s="3" t="str">
        <f>HYPERLINK("https://www.boe.es/gazeta/dias/1818/08/29/pdfs/GMD-1818-104.pdf#page=5","Abrir facsímil")</f>
        <v>Abrir facsímil</v>
      </c>
      <c r="K1082" s="3" t="s">
        <v>38</v>
      </c>
    </row>
    <row r="1083" spans="1:11" ht="42" customHeight="1">
      <c r="A1083" s="2" t="s">
        <v>2763</v>
      </c>
      <c r="B1083" s="2" t="s">
        <v>2764</v>
      </c>
      <c r="C1083" s="2" t="s">
        <v>26</v>
      </c>
      <c r="D1083" s="2" t="s">
        <v>27</v>
      </c>
      <c r="E1083" s="5">
        <v>-29626</v>
      </c>
      <c r="F1083" s="3" t="s">
        <v>496</v>
      </c>
      <c r="G1083" s="3" t="s">
        <v>551</v>
      </c>
      <c r="H1083" s="2" t="s">
        <v>36</v>
      </c>
      <c r="I1083" s="2" t="s">
        <v>2765</v>
      </c>
      <c r="J1083" s="3" t="str">
        <f>HYPERLINK("https://www.boe.es/gazeta/dias/1818/11/19/pdfs/GMD-1818-140.pdf#page=5","Abrir facsímil")</f>
        <v>Abrir facsímil</v>
      </c>
      <c r="K1083" s="3" t="s">
        <v>38</v>
      </c>
    </row>
    <row r="1084" spans="1:11" ht="42" customHeight="1">
      <c r="A1084" s="2" t="s">
        <v>2763</v>
      </c>
      <c r="B1084" s="2" t="s">
        <v>2764</v>
      </c>
      <c r="C1084" s="2" t="s">
        <v>26</v>
      </c>
      <c r="D1084" s="2" t="s">
        <v>27</v>
      </c>
      <c r="E1084" s="5">
        <v>-29626</v>
      </c>
      <c r="F1084" s="3" t="s">
        <v>496</v>
      </c>
      <c r="G1084" s="3" t="s">
        <v>20</v>
      </c>
      <c r="H1084" s="2" t="s">
        <v>36</v>
      </c>
      <c r="I1084" s="2" t="s">
        <v>2766</v>
      </c>
      <c r="J1084" s="3" t="str">
        <f>HYPERLINK("https://www.boe.es/gazeta/dias/1818/11/19/pdfs/GMD-1818-140.pdf#page=7","Abrir facsímil")</f>
        <v>Abrir facsímil</v>
      </c>
      <c r="K1084" s="3" t="s">
        <v>38</v>
      </c>
    </row>
    <row r="1085" spans="1:11" ht="42" customHeight="1">
      <c r="A1085" s="2" t="s">
        <v>2767</v>
      </c>
      <c r="B1085" s="2" t="s">
        <v>2768</v>
      </c>
      <c r="C1085" s="2" t="s">
        <v>68</v>
      </c>
      <c r="D1085" s="2" t="s">
        <v>69</v>
      </c>
      <c r="E1085" s="5">
        <v>-29773</v>
      </c>
      <c r="F1085" s="3" t="s">
        <v>424</v>
      </c>
      <c r="G1085" s="3" t="s">
        <v>59</v>
      </c>
      <c r="H1085" s="2" t="s">
        <v>36</v>
      </c>
      <c r="I1085" s="2" t="s">
        <v>2769</v>
      </c>
      <c r="J1085" s="3" t="str">
        <f>HYPERLINK("https://www.boe.es/gazeta/dias/1818/06/25/pdfs/GMD-1818-76.pdf#page=6","Abrir facsímil")</f>
        <v>Abrir facsímil</v>
      </c>
      <c r="K1085" s="3" t="s">
        <v>38</v>
      </c>
    </row>
    <row r="1086" spans="1:11" ht="42" customHeight="1">
      <c r="A1086" s="2" t="s">
        <v>2770</v>
      </c>
      <c r="B1086" s="2" t="s">
        <v>2771</v>
      </c>
      <c r="C1086" s="2" t="s">
        <v>17</v>
      </c>
      <c r="D1086" s="2" t="s">
        <v>18</v>
      </c>
      <c r="E1086" s="5">
        <v>-29824</v>
      </c>
      <c r="F1086" s="3" t="s">
        <v>101</v>
      </c>
      <c r="G1086" s="3" t="s">
        <v>20</v>
      </c>
      <c r="H1086" s="2" t="s">
        <v>36</v>
      </c>
      <c r="I1086" s="2" t="s">
        <v>2772</v>
      </c>
      <c r="J1086" s="3" t="str">
        <f>HYPERLINK("https://www.boe.es/gazeta/dias/1818/05/05/pdfs/GMD-1818-54.pdf#page=7","Abrir facsímil")</f>
        <v>Abrir facsímil</v>
      </c>
      <c r="K1086" s="3" t="s">
        <v>38</v>
      </c>
    </row>
    <row r="1087" spans="1:11" ht="42" customHeight="1">
      <c r="A1087" s="2" t="s">
        <v>2770</v>
      </c>
      <c r="B1087" s="2" t="s">
        <v>2771</v>
      </c>
      <c r="C1087" s="2" t="s">
        <v>17</v>
      </c>
      <c r="D1087" s="2" t="s">
        <v>18</v>
      </c>
      <c r="E1087" s="5">
        <v>-29708</v>
      </c>
      <c r="F1087" s="3" t="s">
        <v>413</v>
      </c>
      <c r="G1087" s="3" t="s">
        <v>45</v>
      </c>
      <c r="H1087" s="2" t="s">
        <v>36</v>
      </c>
      <c r="I1087" s="2" t="s">
        <v>2773</v>
      </c>
      <c r="J1087" s="3" t="str">
        <f>HYPERLINK("https://www.boe.es/gazeta/dias/1818/08/29/pdfs/GMD-1818-104.pdf#page=8","Abrir facsímil")</f>
        <v>Abrir facsímil</v>
      </c>
      <c r="K1087" s="3" t="s">
        <v>38</v>
      </c>
    </row>
    <row r="1088" spans="1:11" ht="42" customHeight="1">
      <c r="A1088" s="2" t="s">
        <v>2774</v>
      </c>
      <c r="B1088" s="2" t="s">
        <v>2774</v>
      </c>
      <c r="C1088" s="2" t="s">
        <v>17</v>
      </c>
      <c r="D1088" s="2" t="s">
        <v>18</v>
      </c>
      <c r="E1088" s="5">
        <v>-29838</v>
      </c>
      <c r="F1088" s="3" t="s">
        <v>593</v>
      </c>
      <c r="G1088" s="3" t="s">
        <v>2648</v>
      </c>
      <c r="H1088" s="2" t="s">
        <v>36</v>
      </c>
      <c r="I1088" s="2" t="s">
        <v>2775</v>
      </c>
      <c r="J1088" s="3" t="str">
        <f>HYPERLINK("https://www.boe.es/gazeta/dias/1818/04/21/pdfs/GMD-1818-48.pdf#page=4","Abrir facsímil")</f>
        <v>Abrir facsímil</v>
      </c>
      <c r="K1088" s="3" t="s">
        <v>38</v>
      </c>
    </row>
    <row r="1089" spans="1:11" ht="42" customHeight="1">
      <c r="A1089" s="2" t="s">
        <v>2774</v>
      </c>
      <c r="B1089" s="2" t="s">
        <v>2774</v>
      </c>
      <c r="C1089" s="2" t="s">
        <v>17</v>
      </c>
      <c r="D1089" s="2" t="s">
        <v>18</v>
      </c>
      <c r="E1089" s="5">
        <v>-29766</v>
      </c>
      <c r="F1089" s="3" t="s">
        <v>276</v>
      </c>
      <c r="G1089" s="3" t="s">
        <v>85</v>
      </c>
      <c r="H1089" s="2" t="s">
        <v>36</v>
      </c>
      <c r="I1089" s="2" t="s">
        <v>2776</v>
      </c>
      <c r="J1089" s="3" t="str">
        <f>HYPERLINK("https://www.boe.es/gazeta/dias/1818/07/02/pdfs/GMD-1818-79.pdf#page=3","Abrir facsímil")</f>
        <v>Abrir facsímil</v>
      </c>
      <c r="K1089" s="3" t="s">
        <v>38</v>
      </c>
    </row>
    <row r="1090" spans="1:11" ht="42" customHeight="1">
      <c r="A1090" s="2" t="s">
        <v>2777</v>
      </c>
      <c r="B1090" s="2" t="s">
        <v>2777</v>
      </c>
      <c r="C1090" s="2" t="s">
        <v>26</v>
      </c>
      <c r="D1090" s="2" t="s">
        <v>27</v>
      </c>
      <c r="E1090" s="5">
        <v>-29743</v>
      </c>
      <c r="F1090" s="3" t="s">
        <v>734</v>
      </c>
      <c r="G1090" s="3" t="s">
        <v>49</v>
      </c>
      <c r="H1090" s="2" t="s">
        <v>36</v>
      </c>
      <c r="I1090" s="2" t="s">
        <v>2778</v>
      </c>
      <c r="J1090" s="3" t="str">
        <f>HYPERLINK("https://www.boe.es/gazeta/dias/1818/07/25/pdfs/GMD-1818-89.pdf#page=1","Abrir facsímil")</f>
        <v>Abrir facsímil</v>
      </c>
      <c r="K1090" s="3" t="s">
        <v>38</v>
      </c>
    </row>
    <row r="1091" spans="1:11" ht="42" customHeight="1">
      <c r="A1091" s="2" t="s">
        <v>2779</v>
      </c>
      <c r="B1091" s="2" t="s">
        <v>2780</v>
      </c>
      <c r="C1091" s="2" t="s">
        <v>26</v>
      </c>
      <c r="D1091" s="2" t="s">
        <v>27</v>
      </c>
      <c r="E1091" s="5">
        <v>-29654</v>
      </c>
      <c r="F1091" s="3" t="s">
        <v>219</v>
      </c>
      <c r="G1091" s="3" t="s">
        <v>29</v>
      </c>
      <c r="H1091" s="2" t="s">
        <v>36</v>
      </c>
      <c r="I1091" s="2" t="s">
        <v>2781</v>
      </c>
      <c r="J1091" s="3" t="str">
        <f>HYPERLINK("https://www.boe.es/gazeta/dias/1818/10/22/pdfs/GMD-1818-128.pdf#page=4","Abrir facsímil")</f>
        <v>Abrir facsímil</v>
      </c>
      <c r="K1091" s="3" t="s">
        <v>38</v>
      </c>
    </row>
    <row r="1092" spans="1:11" ht="42" customHeight="1">
      <c r="A1092" s="2" t="s">
        <v>2782</v>
      </c>
      <c r="B1092" s="2" t="s">
        <v>2782</v>
      </c>
      <c r="C1092" s="2" t="s">
        <v>26</v>
      </c>
      <c r="D1092" s="2" t="s">
        <v>27</v>
      </c>
      <c r="E1092" s="5">
        <v>-29621</v>
      </c>
      <c r="F1092" s="3" t="s">
        <v>1561</v>
      </c>
      <c r="G1092" s="3" t="s">
        <v>29</v>
      </c>
      <c r="H1092" s="2" t="s">
        <v>36</v>
      </c>
      <c r="I1092" s="2" t="s">
        <v>2783</v>
      </c>
      <c r="J1092" s="3" t="str">
        <f>HYPERLINK("https://www.boe.es/gazeta/dias/1818/11/24/pdfs/GMD-1818-142.pdf#page=4","Abrir facsímil")</f>
        <v>Abrir facsímil</v>
      </c>
      <c r="K1092" s="3" t="s">
        <v>38</v>
      </c>
    </row>
    <row r="1093" spans="1:11" ht="42" customHeight="1">
      <c r="A1093" s="2" t="s">
        <v>2784</v>
      </c>
      <c r="B1093" s="2" t="s">
        <v>2784</v>
      </c>
      <c r="C1093" s="2" t="s">
        <v>68</v>
      </c>
      <c r="D1093" s="2" t="s">
        <v>69</v>
      </c>
      <c r="E1093" s="5">
        <v>-29834</v>
      </c>
      <c r="F1093" s="3" t="s">
        <v>457</v>
      </c>
      <c r="G1093" s="3" t="s">
        <v>85</v>
      </c>
      <c r="H1093" s="2" t="s">
        <v>36</v>
      </c>
      <c r="I1093" s="2" t="s">
        <v>2785</v>
      </c>
      <c r="J1093" s="3" t="str">
        <f>HYPERLINK("https://www.boe.es/gazeta/dias/1818/04/25/pdfs/GMD-1818-50.pdf#page=3","Abrir facsímil")</f>
        <v>Abrir facsímil</v>
      </c>
      <c r="K1093" s="3" t="s">
        <v>38</v>
      </c>
    </row>
    <row r="1094" spans="1:11" ht="42" customHeight="1">
      <c r="A1094" s="2" t="s">
        <v>2786</v>
      </c>
      <c r="B1094" s="2" t="s">
        <v>2787</v>
      </c>
      <c r="C1094" s="2" t="s">
        <v>26</v>
      </c>
      <c r="D1094" s="2" t="s">
        <v>27</v>
      </c>
      <c r="E1094" s="5">
        <v>-29731</v>
      </c>
      <c r="F1094" s="3" t="s">
        <v>299</v>
      </c>
      <c r="G1094" s="3" t="s">
        <v>59</v>
      </c>
      <c r="H1094" s="2" t="s">
        <v>36</v>
      </c>
      <c r="I1094" s="2" t="s">
        <v>2788</v>
      </c>
      <c r="J1094" s="3" t="str">
        <f>HYPERLINK("https://www.boe.es/gazeta/dias/1818/08/06/pdfs/GMD-1818-94.pdf#page=6","Abrir facsímil")</f>
        <v>Abrir facsímil</v>
      </c>
      <c r="K1094" s="3" t="s">
        <v>38</v>
      </c>
    </row>
    <row r="1095" spans="1:11" ht="42" customHeight="1">
      <c r="A1095" s="2" t="s">
        <v>2789</v>
      </c>
      <c r="B1095" s="2" t="s">
        <v>2790</v>
      </c>
      <c r="C1095" s="2" t="s">
        <v>26</v>
      </c>
      <c r="D1095" s="2" t="s">
        <v>27</v>
      </c>
      <c r="E1095" s="5">
        <v>-29831</v>
      </c>
      <c r="F1095" s="3" t="s">
        <v>567</v>
      </c>
      <c r="G1095" s="3" t="s">
        <v>45</v>
      </c>
      <c r="H1095" s="2" t="s">
        <v>36</v>
      </c>
      <c r="I1095" s="2" t="s">
        <v>2791</v>
      </c>
      <c r="J1095" s="3" t="str">
        <f>HYPERLINK("https://www.boe.es/gazeta/dias/1818/04/28/pdfs/GMD-1818-51.pdf#page=8","Abrir facsímil")</f>
        <v>Abrir facsímil</v>
      </c>
      <c r="K1095" s="3" t="s">
        <v>38</v>
      </c>
    </row>
    <row r="1096" spans="1:11" ht="42" customHeight="1">
      <c r="A1096" s="2" t="s">
        <v>2792</v>
      </c>
      <c r="B1096" s="2" t="s">
        <v>2793</v>
      </c>
      <c r="C1096" s="2" t="s">
        <v>68</v>
      </c>
      <c r="D1096" s="2" t="s">
        <v>69</v>
      </c>
      <c r="E1096" s="5">
        <v>-29624</v>
      </c>
      <c r="F1096" s="3" t="s">
        <v>131</v>
      </c>
      <c r="G1096" s="3" t="s">
        <v>45</v>
      </c>
      <c r="H1096" s="2" t="s">
        <v>36</v>
      </c>
      <c r="I1096" s="2" t="s">
        <v>2794</v>
      </c>
      <c r="J1096" s="3" t="str">
        <f>HYPERLINK("https://www.boe.es/gazeta/dias/1818/11/21/pdfs/GMD-1818-141.pdf#page=8","Abrir facsímil")</f>
        <v>Abrir facsímil</v>
      </c>
      <c r="K1096" s="3" t="s">
        <v>38</v>
      </c>
    </row>
    <row r="1097" spans="1:11" ht="42" customHeight="1">
      <c r="A1097" s="2" t="s">
        <v>2795</v>
      </c>
      <c r="B1097" s="2" t="s">
        <v>2796</v>
      </c>
      <c r="C1097" s="2" t="s">
        <v>26</v>
      </c>
      <c r="D1097" s="2" t="s">
        <v>27</v>
      </c>
      <c r="E1097" s="5">
        <v>-29913</v>
      </c>
      <c r="F1097" s="3" t="s">
        <v>449</v>
      </c>
      <c r="G1097" s="3" t="s">
        <v>45</v>
      </c>
      <c r="H1097" s="2" t="s">
        <v>36</v>
      </c>
      <c r="I1097" s="2" t="s">
        <v>2797</v>
      </c>
      <c r="J1097" s="3" t="str">
        <f>HYPERLINK("https://www.boe.es/gazeta/dias/1818/02/05/pdfs/GMD-1818-16.pdf#page=8","Abrir facsímil")</f>
        <v>Abrir facsímil</v>
      </c>
      <c r="K1097" s="3" t="s">
        <v>38</v>
      </c>
    </row>
    <row r="1098" spans="1:11" ht="42" customHeight="1">
      <c r="A1098" s="2" t="s">
        <v>2798</v>
      </c>
      <c r="B1098" s="2" t="s">
        <v>2799</v>
      </c>
      <c r="C1098" s="2" t="s">
        <v>26</v>
      </c>
      <c r="D1098" s="2" t="s">
        <v>27</v>
      </c>
      <c r="E1098" s="5">
        <v>-29897</v>
      </c>
      <c r="F1098" s="3" t="s">
        <v>318</v>
      </c>
      <c r="G1098" s="3" t="s">
        <v>29</v>
      </c>
      <c r="H1098" s="2" t="s">
        <v>36</v>
      </c>
      <c r="I1098" s="2" t="s">
        <v>2800</v>
      </c>
      <c r="J1098" s="3" t="str">
        <f>HYPERLINK("https://www.boe.es/gazeta/dias/1818/02/21/pdfs/GMD-1818-23.pdf#page=4","Abrir facsímil")</f>
        <v>Abrir facsímil</v>
      </c>
      <c r="K1098" s="3" t="s">
        <v>38</v>
      </c>
    </row>
    <row r="1099" spans="1:11" ht="42" customHeight="1">
      <c r="A1099" s="2" t="s">
        <v>2801</v>
      </c>
      <c r="B1099" s="2" t="s">
        <v>2802</v>
      </c>
      <c r="C1099" s="2" t="s">
        <v>26</v>
      </c>
      <c r="D1099" s="2" t="s">
        <v>27</v>
      </c>
      <c r="E1099" s="5">
        <v>-29596</v>
      </c>
      <c r="F1099" s="3" t="s">
        <v>555</v>
      </c>
      <c r="G1099" s="3" t="s">
        <v>45</v>
      </c>
      <c r="H1099" s="2" t="s">
        <v>36</v>
      </c>
      <c r="I1099" s="2" t="s">
        <v>2803</v>
      </c>
      <c r="J1099" s="3" t="str">
        <f>HYPERLINK("https://www.boe.es/gazeta/dias/1818/12/19/pdfs/GMD-1818-153.pdf#page=8","Abrir facsímil")</f>
        <v>Abrir facsímil</v>
      </c>
      <c r="K1099" s="3" t="s">
        <v>38</v>
      </c>
    </row>
    <row r="1100" spans="1:11" ht="42" customHeight="1">
      <c r="A1100" s="2" t="s">
        <v>2804</v>
      </c>
      <c r="B1100" s="2" t="s">
        <v>2805</v>
      </c>
      <c r="C1100" s="2" t="s">
        <v>26</v>
      </c>
      <c r="D1100" s="2" t="s">
        <v>27</v>
      </c>
      <c r="E1100" s="5">
        <v>-29796</v>
      </c>
      <c r="F1100" s="3" t="s">
        <v>1359</v>
      </c>
      <c r="G1100" s="3" t="s">
        <v>20</v>
      </c>
      <c r="H1100" s="2" t="s">
        <v>36</v>
      </c>
      <c r="I1100" s="2" t="s">
        <v>2806</v>
      </c>
      <c r="J1100" s="3" t="str">
        <f>HYPERLINK("https://www.boe.es/gazeta/dias/1818/06/02/pdfs/GMD-1818-66.pdf#page=7","Abrir facsímil")</f>
        <v>Abrir facsímil</v>
      </c>
      <c r="K1100" s="3" t="s">
        <v>38</v>
      </c>
    </row>
    <row r="1101" spans="1:11" ht="42" customHeight="1">
      <c r="A1101" s="2" t="s">
        <v>2807</v>
      </c>
      <c r="B1101" s="2" t="s">
        <v>2808</v>
      </c>
      <c r="C1101" s="2" t="s">
        <v>26</v>
      </c>
      <c r="D1101" s="2" t="s">
        <v>27</v>
      </c>
      <c r="E1101" s="5">
        <v>-29864</v>
      </c>
      <c r="F1101" s="3" t="s">
        <v>196</v>
      </c>
      <c r="G1101" s="3" t="s">
        <v>2425</v>
      </c>
      <c r="H1101" s="2" t="s">
        <v>36</v>
      </c>
      <c r="I1101" s="2" t="s">
        <v>2809</v>
      </c>
      <c r="J1101" s="3" t="str">
        <f>HYPERLINK("https://www.boe.es/gazeta/dias/1818/03/26/pdfs/GMD-1818-37.pdf#page=7","Abrir facsímil")</f>
        <v>Abrir facsímil</v>
      </c>
      <c r="K1101" s="3" t="s">
        <v>38</v>
      </c>
    </row>
    <row r="1102" spans="1:11" ht="42" customHeight="1">
      <c r="A1102" s="2" t="s">
        <v>2810</v>
      </c>
      <c r="B1102" s="2" t="s">
        <v>2811</v>
      </c>
      <c r="C1102" s="2" t="s">
        <v>17</v>
      </c>
      <c r="D1102" s="2" t="s">
        <v>18</v>
      </c>
      <c r="E1102" s="5">
        <v>-29815</v>
      </c>
      <c r="F1102" s="3" t="s">
        <v>2169</v>
      </c>
      <c r="G1102" s="3" t="s">
        <v>2812</v>
      </c>
      <c r="H1102" s="2" t="s">
        <v>36</v>
      </c>
      <c r="I1102" s="2" t="s">
        <v>2813</v>
      </c>
      <c r="J1102" s="3" t="str">
        <f>HYPERLINK("https://www.boe.es/gazeta/dias/1818/05/14/pdfs/GMD-1818-58.pdf#page=5","Abrir facsímil")</f>
        <v>Abrir facsímil</v>
      </c>
      <c r="K1102" s="3" t="s">
        <v>38</v>
      </c>
    </row>
    <row r="1103" spans="1:11" ht="42" customHeight="1">
      <c r="A1103" s="2" t="s">
        <v>2807</v>
      </c>
      <c r="B1103" s="2" t="s">
        <v>2808</v>
      </c>
      <c r="C1103" s="2" t="s">
        <v>26</v>
      </c>
      <c r="D1103" s="2" t="s">
        <v>27</v>
      </c>
      <c r="E1103" s="5">
        <v>-29815</v>
      </c>
      <c r="F1103" s="3" t="s">
        <v>2169</v>
      </c>
      <c r="G1103" s="3" t="s">
        <v>20</v>
      </c>
      <c r="H1103" s="2" t="s">
        <v>36</v>
      </c>
      <c r="I1103" s="2" t="s">
        <v>2814</v>
      </c>
      <c r="J1103" s="3" t="str">
        <f>HYPERLINK("https://www.boe.es/gazeta/dias/1818/05/14/pdfs/GMD-1818-58.pdf#page=7","Abrir facsímil")</f>
        <v>Abrir facsímil</v>
      </c>
      <c r="K1103" s="3" t="s">
        <v>38</v>
      </c>
    </row>
    <row r="1104" spans="1:11" ht="42" customHeight="1">
      <c r="A1104" s="2" t="s">
        <v>2815</v>
      </c>
      <c r="B1104" s="2" t="s">
        <v>2816</v>
      </c>
      <c r="C1104" s="2" t="s">
        <v>26</v>
      </c>
      <c r="D1104" s="2" t="s">
        <v>27</v>
      </c>
      <c r="E1104" s="5">
        <v>-29822</v>
      </c>
      <c r="F1104" s="3" t="s">
        <v>373</v>
      </c>
      <c r="G1104" s="3" t="s">
        <v>59</v>
      </c>
      <c r="H1104" s="2" t="s">
        <v>36</v>
      </c>
      <c r="I1104" s="2" t="s">
        <v>2817</v>
      </c>
      <c r="J1104" s="3" t="str">
        <f>HYPERLINK("https://www.boe.es/gazeta/dias/1818/05/07/pdfs/GMD-1818-55.pdf#page=6","Abrir facsímil")</f>
        <v>Abrir facsímil</v>
      </c>
      <c r="K1104" s="3" t="s">
        <v>38</v>
      </c>
    </row>
    <row r="1105" spans="1:11" ht="42" customHeight="1">
      <c r="A1105" s="2" t="s">
        <v>2818</v>
      </c>
      <c r="B1105" s="2" t="s">
        <v>2818</v>
      </c>
      <c r="C1105" s="2" t="s">
        <v>17</v>
      </c>
      <c r="D1105" s="2" t="s">
        <v>18</v>
      </c>
      <c r="E1105" s="5">
        <v>-29631</v>
      </c>
      <c r="F1105" s="3" t="s">
        <v>743</v>
      </c>
      <c r="G1105" s="3" t="s">
        <v>2819</v>
      </c>
      <c r="H1105" s="2" t="s">
        <v>36</v>
      </c>
      <c r="I1105" s="2" t="s">
        <v>2820</v>
      </c>
      <c r="J1105" s="3" t="str">
        <f>HYPERLINK("https://www.boe.es/gazeta/dias/1818/11/14/pdfs/GMD-1818-138.pdf#page=2","Abrir facsímil")</f>
        <v>Abrir facsímil</v>
      </c>
      <c r="K1105" s="3" t="s">
        <v>38</v>
      </c>
    </row>
    <row r="1106" spans="1:11" ht="42" customHeight="1">
      <c r="A1106" s="2" t="s">
        <v>2821</v>
      </c>
      <c r="B1106" s="2" t="s">
        <v>2822</v>
      </c>
      <c r="C1106" s="2" t="s">
        <v>17</v>
      </c>
      <c r="D1106" s="2" t="s">
        <v>18</v>
      </c>
      <c r="E1106" s="5">
        <v>-29855</v>
      </c>
      <c r="F1106" s="3" t="s">
        <v>676</v>
      </c>
      <c r="G1106" s="3" t="s">
        <v>106</v>
      </c>
      <c r="H1106" s="2" t="s">
        <v>36</v>
      </c>
      <c r="I1106" s="2" t="s">
        <v>2823</v>
      </c>
      <c r="J1106" s="3" t="str">
        <f>HYPERLINK("https://www.boe.es/gazeta/dias/1818/04/04/pdfs/GMD-1818-41.pdf#page=5","Abrir facsímil")</f>
        <v>Abrir facsímil</v>
      </c>
      <c r="K1106" s="3" t="s">
        <v>38</v>
      </c>
    </row>
    <row r="1107" spans="1:11" ht="42" customHeight="1">
      <c r="A1107" s="2" t="s">
        <v>2824</v>
      </c>
      <c r="B1107" s="2" t="s">
        <v>2825</v>
      </c>
      <c r="C1107" s="2" t="s">
        <v>68</v>
      </c>
      <c r="D1107" s="2" t="s">
        <v>69</v>
      </c>
      <c r="E1107" s="5">
        <v>-29939</v>
      </c>
      <c r="F1107" s="3" t="s">
        <v>110</v>
      </c>
      <c r="G1107" s="3" t="s">
        <v>111</v>
      </c>
      <c r="H1107" s="2" t="s">
        <v>36</v>
      </c>
      <c r="I1107" s="2" t="s">
        <v>2826</v>
      </c>
      <c r="J1107" s="3" t="str">
        <f>HYPERLINK("https://www.boe.es/gazeta/dias/1818/01/10/pdfs/GMD-1818-5.pdf#page=11","Abrir facsímil")</f>
        <v>Abrir facsímil</v>
      </c>
      <c r="K1107" s="3" t="s">
        <v>38</v>
      </c>
    </row>
    <row r="1108" spans="1:11" ht="42" customHeight="1">
      <c r="A1108" s="2" t="s">
        <v>2827</v>
      </c>
      <c r="B1108" s="2" t="s">
        <v>2827</v>
      </c>
      <c r="C1108" s="2" t="s">
        <v>26</v>
      </c>
      <c r="D1108" s="2" t="s">
        <v>27</v>
      </c>
      <c r="E1108" s="5">
        <v>-29750</v>
      </c>
      <c r="F1108" s="3" t="s">
        <v>384</v>
      </c>
      <c r="G1108" s="3" t="s">
        <v>85</v>
      </c>
      <c r="H1108" s="2" t="s">
        <v>36</v>
      </c>
      <c r="I1108" s="2" t="s">
        <v>2828</v>
      </c>
      <c r="J1108" s="3" t="str">
        <f>HYPERLINK("https://www.boe.es/gazeta/dias/1818/07/18/pdfs/GMD-1818-86.pdf#page=3","Abrir facsímil")</f>
        <v>Abrir facsímil</v>
      </c>
      <c r="K1108" s="3" t="s">
        <v>38</v>
      </c>
    </row>
    <row r="1109" spans="1:11" ht="42" customHeight="1">
      <c r="A1109" s="2" t="s">
        <v>2829</v>
      </c>
      <c r="B1109" s="2" t="s">
        <v>2830</v>
      </c>
      <c r="C1109" s="2" t="s">
        <v>17</v>
      </c>
      <c r="D1109" s="2" t="s">
        <v>18</v>
      </c>
      <c r="E1109" s="5">
        <v>-29691</v>
      </c>
      <c r="F1109" s="3" t="s">
        <v>144</v>
      </c>
      <c r="G1109" s="3" t="s">
        <v>1904</v>
      </c>
      <c r="H1109" s="2" t="s">
        <v>36</v>
      </c>
      <c r="I1109" s="2" t="s">
        <v>2831</v>
      </c>
      <c r="J1109" s="3" t="str">
        <f>HYPERLINK("https://www.boe.es/gazeta/dias/1818/09/15/pdfs/GMD-1818-111.pdf#page=5","Abrir facsímil")</f>
        <v>Abrir facsímil</v>
      </c>
      <c r="K1109" s="3" t="s">
        <v>38</v>
      </c>
    </row>
    <row r="1110" spans="1:11" ht="42" customHeight="1">
      <c r="A1110" s="2" t="s">
        <v>2829</v>
      </c>
      <c r="B1110" s="2" t="s">
        <v>2830</v>
      </c>
      <c r="C1110" s="2" t="s">
        <v>26</v>
      </c>
      <c r="D1110" s="2" t="s">
        <v>27</v>
      </c>
      <c r="E1110" s="5">
        <v>-29691</v>
      </c>
      <c r="F1110" s="3" t="s">
        <v>144</v>
      </c>
      <c r="G1110" s="3" t="s">
        <v>29</v>
      </c>
      <c r="H1110" s="2" t="s">
        <v>36</v>
      </c>
      <c r="I1110" s="2" t="s">
        <v>2832</v>
      </c>
      <c r="J1110" s="3" t="str">
        <f>HYPERLINK("https://www.boe.es/gazeta/dias/1818/09/15/pdfs/GMD-1818-111.pdf#page=4","Abrir facsímil")</f>
        <v>Abrir facsímil</v>
      </c>
      <c r="K1110" s="3" t="s">
        <v>38</v>
      </c>
    </row>
    <row r="1111" spans="1:11" ht="42" customHeight="1">
      <c r="A1111" s="2" t="s">
        <v>2829</v>
      </c>
      <c r="B1111" s="2" t="s">
        <v>2830</v>
      </c>
      <c r="C1111" s="2" t="s">
        <v>26</v>
      </c>
      <c r="D1111" s="2" t="s">
        <v>27</v>
      </c>
      <c r="E1111" s="5">
        <v>-29684</v>
      </c>
      <c r="F1111" s="3" t="s">
        <v>311</v>
      </c>
      <c r="G1111" s="3" t="s">
        <v>106</v>
      </c>
      <c r="H1111" s="2" t="s">
        <v>36</v>
      </c>
      <c r="I1111" s="2" t="s">
        <v>2833</v>
      </c>
      <c r="J1111" s="3" t="str">
        <f>HYPERLINK("https://www.boe.es/gazeta/dias/1818/09/22/pdfs/GMD-1818-114.pdf#page=5","Abrir facsímil")</f>
        <v>Abrir facsímil</v>
      </c>
      <c r="K1111" s="3" t="s">
        <v>38</v>
      </c>
    </row>
    <row r="1112" spans="1:11" ht="42" customHeight="1">
      <c r="A1112" s="2" t="s">
        <v>2829</v>
      </c>
      <c r="B1112" s="2" t="s">
        <v>2830</v>
      </c>
      <c r="C1112" s="2" t="s">
        <v>26</v>
      </c>
      <c r="D1112" s="2" t="s">
        <v>27</v>
      </c>
      <c r="E1112" s="5">
        <v>-29680</v>
      </c>
      <c r="F1112" s="3" t="s">
        <v>865</v>
      </c>
      <c r="G1112" s="3" t="s">
        <v>106</v>
      </c>
      <c r="H1112" s="2" t="s">
        <v>36</v>
      </c>
      <c r="I1112" s="2" t="s">
        <v>2834</v>
      </c>
      <c r="J1112" s="3" t="str">
        <f>HYPERLINK("https://www.boe.es/gazeta/dias/1818/09/26/pdfs/GMD-1818-116.pdf#page=5","Abrir facsímil")</f>
        <v>Abrir facsímil</v>
      </c>
      <c r="K1112" s="3" t="s">
        <v>38</v>
      </c>
    </row>
    <row r="1113" spans="1:11" ht="42" customHeight="1">
      <c r="A1113" s="2" t="s">
        <v>2835</v>
      </c>
      <c r="B1113" s="2" t="s">
        <v>2836</v>
      </c>
      <c r="C1113" s="2" t="s">
        <v>63</v>
      </c>
      <c r="D1113" s="2" t="s">
        <v>18</v>
      </c>
      <c r="E1113" s="5">
        <v>-29890</v>
      </c>
      <c r="F1113" s="3" t="s">
        <v>393</v>
      </c>
      <c r="G1113" s="3" t="s">
        <v>394</v>
      </c>
      <c r="H1113" s="2" t="s">
        <v>36</v>
      </c>
      <c r="I1113" s="2" t="s">
        <v>2837</v>
      </c>
      <c r="J1113" s="3" t="str">
        <f>HYPERLINK("https://www.boe.es/gazeta/dias/1818/02/28/pdfs/GMD-1818-26.pdf#page=8","Abrir facsímil")</f>
        <v>Abrir facsímil</v>
      </c>
      <c r="K1113" s="3" t="s">
        <v>38</v>
      </c>
    </row>
    <row r="1114" spans="1:11" ht="42" customHeight="1">
      <c r="A1114" s="2" t="s">
        <v>2838</v>
      </c>
      <c r="B1114" s="2" t="s">
        <v>2839</v>
      </c>
      <c r="C1114" s="2" t="s">
        <v>26</v>
      </c>
      <c r="D1114" s="2" t="s">
        <v>27</v>
      </c>
      <c r="E1114" s="5">
        <v>-29591</v>
      </c>
      <c r="F1114" s="3" t="s">
        <v>1414</v>
      </c>
      <c r="G1114" s="3" t="s">
        <v>45</v>
      </c>
      <c r="H1114" s="2" t="s">
        <v>36</v>
      </c>
      <c r="I1114" s="2" t="s">
        <v>2840</v>
      </c>
      <c r="J1114" s="3" t="str">
        <f>HYPERLINK("https://www.boe.es/gazeta/dias/1818/12/24/pdfs/GMD-1818-155.pdf#page=8","Abrir facsímil")</f>
        <v>Abrir facsímil</v>
      </c>
      <c r="K1114" s="3" t="s">
        <v>38</v>
      </c>
    </row>
    <row r="1115" spans="1:11" ht="42" customHeight="1">
      <c r="A1115" s="2" t="s">
        <v>2841</v>
      </c>
      <c r="B1115" s="2" t="s">
        <v>2842</v>
      </c>
      <c r="C1115" s="2" t="s">
        <v>26</v>
      </c>
      <c r="D1115" s="2" t="s">
        <v>27</v>
      </c>
      <c r="E1115" s="5">
        <v>-29780</v>
      </c>
      <c r="F1115" s="3" t="s">
        <v>461</v>
      </c>
      <c r="G1115" s="3" t="s">
        <v>20</v>
      </c>
      <c r="H1115" s="2" t="s">
        <v>36</v>
      </c>
      <c r="I1115" s="2" t="s">
        <v>2843</v>
      </c>
      <c r="J1115" s="3" t="str">
        <f>HYPERLINK("https://www.boe.es/gazeta/dias/1818/06/18/pdfs/GMD-1818-73.pdf#page=7","Abrir facsímil")</f>
        <v>Abrir facsímil</v>
      </c>
      <c r="K1115" s="3" t="s">
        <v>38</v>
      </c>
    </row>
    <row r="1116" spans="1:11" ht="42" customHeight="1">
      <c r="A1116" s="2" t="s">
        <v>2844</v>
      </c>
      <c r="B1116" s="2" t="s">
        <v>2845</v>
      </c>
      <c r="C1116" s="2" t="s">
        <v>68</v>
      </c>
      <c r="D1116" s="2" t="s">
        <v>69</v>
      </c>
      <c r="E1116" s="5">
        <v>-29864</v>
      </c>
      <c r="F1116" s="3" t="s">
        <v>196</v>
      </c>
      <c r="G1116" s="3" t="s">
        <v>106</v>
      </c>
      <c r="H1116" s="2" t="s">
        <v>36</v>
      </c>
      <c r="I1116" s="2" t="s">
        <v>2846</v>
      </c>
      <c r="J1116" s="3" t="str">
        <f>HYPERLINK("https://www.boe.es/gazeta/dias/1818/03/26/pdfs/GMD-1818-37.pdf#page=5","Abrir facsímil")</f>
        <v>Abrir facsímil</v>
      </c>
      <c r="K1116" s="3" t="s">
        <v>38</v>
      </c>
    </row>
    <row r="1117" spans="1:11" ht="42" customHeight="1">
      <c r="A1117" s="2" t="s">
        <v>2847</v>
      </c>
      <c r="B1117" s="2" t="s">
        <v>2847</v>
      </c>
      <c r="C1117" s="2" t="s">
        <v>68</v>
      </c>
      <c r="D1117" s="2" t="s">
        <v>69</v>
      </c>
      <c r="E1117" s="5">
        <v>-29929</v>
      </c>
      <c r="F1117" s="3" t="s">
        <v>204</v>
      </c>
      <c r="G1117" s="3" t="s">
        <v>120</v>
      </c>
      <c r="H1117" s="2" t="s">
        <v>36</v>
      </c>
      <c r="I1117" s="2" t="s">
        <v>2848</v>
      </c>
      <c r="J1117" s="3" t="str">
        <f>HYPERLINK("https://www.boe.es/gazeta/dias/1818/01/20/pdfs/GMD-1818-9.pdf#page=2","Abrir facsímil")</f>
        <v>Abrir facsímil</v>
      </c>
      <c r="K1117" s="3" t="s">
        <v>38</v>
      </c>
    </row>
    <row r="1118" spans="1:11" ht="42" customHeight="1">
      <c r="A1118" s="2" t="s">
        <v>2847</v>
      </c>
      <c r="B1118" s="2" t="s">
        <v>2847</v>
      </c>
      <c r="C1118" s="2" t="s">
        <v>68</v>
      </c>
      <c r="D1118" s="2" t="s">
        <v>69</v>
      </c>
      <c r="E1118" s="5">
        <v>-29873</v>
      </c>
      <c r="F1118" s="3" t="s">
        <v>323</v>
      </c>
      <c r="G1118" s="3" t="s">
        <v>120</v>
      </c>
      <c r="H1118" s="2" t="s">
        <v>36</v>
      </c>
      <c r="I1118" s="2" t="s">
        <v>2849</v>
      </c>
      <c r="J1118" s="3" t="str">
        <f>HYPERLINK("https://www.boe.es/gazeta/dias/1818/03/17/pdfs/GMD-1818-33.pdf#page=2","Abrir facsímil")</f>
        <v>Abrir facsímil</v>
      </c>
      <c r="K1118" s="3" t="s">
        <v>38</v>
      </c>
    </row>
    <row r="1119" spans="1:11" ht="42" customHeight="1">
      <c r="A1119" s="2" t="s">
        <v>2847</v>
      </c>
      <c r="B1119" s="2" t="s">
        <v>2847</v>
      </c>
      <c r="C1119" s="2" t="s">
        <v>68</v>
      </c>
      <c r="D1119" s="2" t="s">
        <v>69</v>
      </c>
      <c r="E1119" s="5">
        <v>-29845</v>
      </c>
      <c r="F1119" s="3" t="s">
        <v>105</v>
      </c>
      <c r="G1119" s="3" t="s">
        <v>2222</v>
      </c>
      <c r="H1119" s="2" t="s">
        <v>36</v>
      </c>
      <c r="I1119" s="2" t="s">
        <v>2850</v>
      </c>
      <c r="J1119" s="3" t="str">
        <f>HYPERLINK("https://www.boe.es/gazeta/dias/1818/04/14/pdfs/GMD-1818-45.pdf#page=2","Abrir facsímil")</f>
        <v>Abrir facsímil</v>
      </c>
      <c r="K1119" s="3" t="s">
        <v>38</v>
      </c>
    </row>
    <row r="1120" spans="1:11" ht="42" customHeight="1">
      <c r="A1120" s="2" t="s">
        <v>2847</v>
      </c>
      <c r="B1120" s="2" t="s">
        <v>2847</v>
      </c>
      <c r="C1120" s="2" t="s">
        <v>68</v>
      </c>
      <c r="D1120" s="2" t="s">
        <v>69</v>
      </c>
      <c r="E1120" s="5">
        <v>-29843</v>
      </c>
      <c r="F1120" s="3" t="s">
        <v>182</v>
      </c>
      <c r="G1120" s="3" t="s">
        <v>120</v>
      </c>
      <c r="H1120" s="2" t="s">
        <v>36</v>
      </c>
      <c r="I1120" s="2" t="s">
        <v>2851</v>
      </c>
      <c r="J1120" s="3" t="str">
        <f>HYPERLINK("https://www.boe.es/gazeta/dias/1818/04/16/pdfs/GMD-1818-46.pdf#page=2","Abrir facsímil")</f>
        <v>Abrir facsímil</v>
      </c>
      <c r="K1120" s="3" t="s">
        <v>38</v>
      </c>
    </row>
    <row r="1121" spans="1:11" ht="42" customHeight="1">
      <c r="A1121" s="2" t="s">
        <v>2847</v>
      </c>
      <c r="B1121" s="2" t="s">
        <v>2847</v>
      </c>
      <c r="C1121" s="2" t="s">
        <v>68</v>
      </c>
      <c r="D1121" s="2" t="s">
        <v>69</v>
      </c>
      <c r="E1121" s="5">
        <v>-29794</v>
      </c>
      <c r="F1121" s="3" t="s">
        <v>127</v>
      </c>
      <c r="G1121" s="3" t="s">
        <v>120</v>
      </c>
      <c r="H1121" s="2" t="s">
        <v>36</v>
      </c>
      <c r="I1121" s="2" t="s">
        <v>2852</v>
      </c>
      <c r="J1121" s="3" t="str">
        <f>HYPERLINK("https://www.boe.es/gazeta/dias/1818/06/04/pdfs/GMD-1818-67.pdf#page=2","Abrir facsímil")</f>
        <v>Abrir facsímil</v>
      </c>
      <c r="K1121" s="3" t="s">
        <v>38</v>
      </c>
    </row>
    <row r="1122" spans="1:11" ht="42" customHeight="1">
      <c r="A1122" s="2" t="s">
        <v>2847</v>
      </c>
      <c r="B1122" s="2" t="s">
        <v>2847</v>
      </c>
      <c r="C1122" s="2" t="s">
        <v>68</v>
      </c>
      <c r="D1122" s="2" t="s">
        <v>69</v>
      </c>
      <c r="E1122" s="5">
        <v>-29698</v>
      </c>
      <c r="F1122" s="3" t="s">
        <v>148</v>
      </c>
      <c r="G1122" s="3" t="s">
        <v>120</v>
      </c>
      <c r="H1122" s="2" t="s">
        <v>36</v>
      </c>
      <c r="I1122" s="2" t="s">
        <v>2853</v>
      </c>
      <c r="J1122" s="3" t="str">
        <f>HYPERLINK("https://www.boe.es/gazeta/dias/1818/09/08/pdfs/GMD-1818-108.pdf#page=2","Abrir facsímil")</f>
        <v>Abrir facsímil</v>
      </c>
      <c r="K1122" s="3" t="s">
        <v>38</v>
      </c>
    </row>
    <row r="1123" spans="1:11" ht="42" customHeight="1">
      <c r="A1123" s="2" t="s">
        <v>2847</v>
      </c>
      <c r="B1123" s="2" t="s">
        <v>2847</v>
      </c>
      <c r="C1123" s="2" t="s">
        <v>68</v>
      </c>
      <c r="D1123" s="2" t="s">
        <v>69</v>
      </c>
      <c r="E1123" s="5">
        <v>-29691</v>
      </c>
      <c r="F1123" s="3" t="s">
        <v>144</v>
      </c>
      <c r="G1123" s="3" t="s">
        <v>49</v>
      </c>
      <c r="H1123" s="2" t="s">
        <v>36</v>
      </c>
      <c r="I1123" s="2" t="s">
        <v>2854</v>
      </c>
      <c r="J1123" s="3" t="str">
        <f>HYPERLINK("https://www.boe.es/gazeta/dias/1818/09/15/pdfs/GMD-1818-111.pdf#page=1","Abrir facsímil")</f>
        <v>Abrir facsímil</v>
      </c>
      <c r="K1123" s="3" t="s">
        <v>38</v>
      </c>
    </row>
    <row r="1124" spans="1:11" ht="42" customHeight="1">
      <c r="A1124" s="2" t="s">
        <v>2855</v>
      </c>
      <c r="B1124" s="2" t="s">
        <v>2856</v>
      </c>
      <c r="C1124" s="2" t="s">
        <v>68</v>
      </c>
      <c r="D1124" s="2" t="s">
        <v>69</v>
      </c>
      <c r="E1124" s="5">
        <v>-29701</v>
      </c>
      <c r="F1124" s="3" t="s">
        <v>596</v>
      </c>
      <c r="G1124" s="3" t="s">
        <v>45</v>
      </c>
      <c r="H1124" s="2" t="s">
        <v>36</v>
      </c>
      <c r="I1124" s="2" t="s">
        <v>2857</v>
      </c>
      <c r="J1124" s="3" t="str">
        <f>HYPERLINK("https://www.boe.es/gazeta/dias/1818/09/05/pdfs/GMD-1818-107.pdf#page=8","Abrir facsímil")</f>
        <v>Abrir facsímil</v>
      </c>
      <c r="K1124" s="3" t="s">
        <v>38</v>
      </c>
    </row>
    <row r="1125" spans="1:11" ht="42" customHeight="1">
      <c r="A1125" s="2" t="s">
        <v>2858</v>
      </c>
      <c r="B1125" s="2" t="s">
        <v>2858</v>
      </c>
      <c r="C1125" s="2" t="s">
        <v>68</v>
      </c>
      <c r="D1125" s="2" t="s">
        <v>69</v>
      </c>
      <c r="E1125" s="5">
        <v>-29862</v>
      </c>
      <c r="F1125" s="3" t="s">
        <v>925</v>
      </c>
      <c r="G1125" s="3" t="s">
        <v>120</v>
      </c>
      <c r="H1125" s="2" t="s">
        <v>36</v>
      </c>
      <c r="I1125" s="2" t="s">
        <v>2859</v>
      </c>
      <c r="J1125" s="3" t="str">
        <f>HYPERLINK("https://www.boe.es/gazeta/dias/1818/03/28/pdfs/GMD-1818-38.pdf#page=2","Abrir facsímil")</f>
        <v>Abrir facsímil</v>
      </c>
      <c r="K1125" s="3" t="s">
        <v>38</v>
      </c>
    </row>
    <row r="1126" spans="1:11" ht="42" customHeight="1">
      <c r="A1126" s="2" t="s">
        <v>2858</v>
      </c>
      <c r="B1126" s="2" t="s">
        <v>2858</v>
      </c>
      <c r="C1126" s="2" t="s">
        <v>26</v>
      </c>
      <c r="D1126" s="2" t="s">
        <v>27</v>
      </c>
      <c r="E1126" s="5">
        <v>-29792</v>
      </c>
      <c r="F1126" s="3" t="s">
        <v>948</v>
      </c>
      <c r="G1126" s="3" t="s">
        <v>120</v>
      </c>
      <c r="H1126" s="2" t="s">
        <v>36</v>
      </c>
      <c r="I1126" s="2" t="s">
        <v>2860</v>
      </c>
      <c r="J1126" s="3" t="str">
        <f>HYPERLINK("https://www.boe.es/gazeta/dias/1818/06/06/pdfs/GMD-1818-68.pdf#page=2","Abrir facsímil")</f>
        <v>Abrir facsímil</v>
      </c>
      <c r="K1126" s="3" t="s">
        <v>38</v>
      </c>
    </row>
    <row r="1127" spans="1:11" ht="42" customHeight="1">
      <c r="A1127" s="2" t="s">
        <v>2858</v>
      </c>
      <c r="B1127" s="2" t="s">
        <v>2858</v>
      </c>
      <c r="C1127" s="2" t="s">
        <v>26</v>
      </c>
      <c r="D1127" s="2" t="s">
        <v>27</v>
      </c>
      <c r="E1127" s="5">
        <v>-29754</v>
      </c>
      <c r="F1127" s="3" t="s">
        <v>466</v>
      </c>
      <c r="G1127" s="3" t="s">
        <v>49</v>
      </c>
      <c r="H1127" s="2" t="s">
        <v>36</v>
      </c>
      <c r="I1127" s="2" t="s">
        <v>2861</v>
      </c>
      <c r="J1127" s="3" t="str">
        <f>HYPERLINK("https://www.boe.es/gazeta/dias/1818/07/14/pdfs/GMD-1818-84.pdf#page=1","Abrir facsímil")</f>
        <v>Abrir facsímil</v>
      </c>
      <c r="K1127" s="3" t="s">
        <v>38</v>
      </c>
    </row>
    <row r="1128" spans="1:11" ht="42" customHeight="1">
      <c r="A1128" s="2" t="s">
        <v>2858</v>
      </c>
      <c r="B1128" s="2" t="s">
        <v>2858</v>
      </c>
      <c r="C1128" s="2" t="s">
        <v>17</v>
      </c>
      <c r="D1128" s="2" t="s">
        <v>18</v>
      </c>
      <c r="E1128" s="5">
        <v>-29740</v>
      </c>
      <c r="F1128" s="3" t="s">
        <v>152</v>
      </c>
      <c r="G1128" s="3" t="s">
        <v>49</v>
      </c>
      <c r="H1128" s="2" t="s">
        <v>36</v>
      </c>
      <c r="I1128" s="2" t="s">
        <v>2862</v>
      </c>
      <c r="J1128" s="3" t="str">
        <f>HYPERLINK("https://www.boe.es/gazeta/dias/1818/07/28/pdfs/GMD-1818-90.pdf#page=1","Abrir facsímil")</f>
        <v>Abrir facsímil</v>
      </c>
      <c r="K1128" s="3" t="s">
        <v>38</v>
      </c>
    </row>
    <row r="1129" spans="1:11" ht="42" customHeight="1">
      <c r="A1129" s="2" t="s">
        <v>2858</v>
      </c>
      <c r="B1129" s="2" t="s">
        <v>2858</v>
      </c>
      <c r="C1129" s="2" t="s">
        <v>26</v>
      </c>
      <c r="D1129" s="2" t="s">
        <v>27</v>
      </c>
      <c r="E1129" s="5">
        <v>-29652</v>
      </c>
      <c r="F1129" s="3" t="s">
        <v>741</v>
      </c>
      <c r="G1129" s="3" t="s">
        <v>49</v>
      </c>
      <c r="H1129" s="2" t="s">
        <v>36</v>
      </c>
      <c r="I1129" s="2" t="s">
        <v>2863</v>
      </c>
      <c r="J1129" s="3" t="str">
        <f>HYPERLINK("https://www.boe.es/gazeta/dias/1818/10/24/pdfs/GMD-1818-129.pdf#page=1","Abrir facsímil")</f>
        <v>Abrir facsímil</v>
      </c>
      <c r="K1129" s="3" t="s">
        <v>38</v>
      </c>
    </row>
    <row r="1130" spans="1:11" ht="42" customHeight="1">
      <c r="A1130" s="2" t="s">
        <v>2858</v>
      </c>
      <c r="B1130" s="2" t="s">
        <v>2858</v>
      </c>
      <c r="C1130" s="2" t="s">
        <v>68</v>
      </c>
      <c r="D1130" s="2" t="s">
        <v>69</v>
      </c>
      <c r="E1130" s="5">
        <v>-29645</v>
      </c>
      <c r="F1130" s="3" t="s">
        <v>577</v>
      </c>
      <c r="G1130" s="3" t="s">
        <v>120</v>
      </c>
      <c r="H1130" s="2" t="s">
        <v>36</v>
      </c>
      <c r="I1130" s="2" t="s">
        <v>2864</v>
      </c>
      <c r="J1130" s="3" t="str">
        <f>HYPERLINK("https://www.boe.es/gazeta/dias/1818/10/31/pdfs/GMD-1818-132.pdf#page=2","Abrir facsímil")</f>
        <v>Abrir facsímil</v>
      </c>
      <c r="K1130" s="3" t="s">
        <v>38</v>
      </c>
    </row>
    <row r="1131" spans="1:11" ht="42" customHeight="1">
      <c r="A1131" s="2" t="s">
        <v>2858</v>
      </c>
      <c r="B1131" s="2" t="s">
        <v>2858</v>
      </c>
      <c r="C1131" s="2" t="s">
        <v>17</v>
      </c>
      <c r="D1131" s="2" t="s">
        <v>18</v>
      </c>
      <c r="E1131" s="5">
        <v>-29631</v>
      </c>
      <c r="F1131" s="3" t="s">
        <v>743</v>
      </c>
      <c r="G1131" s="3" t="s">
        <v>106</v>
      </c>
      <c r="H1131" s="2" t="s">
        <v>36</v>
      </c>
      <c r="I1131" s="2" t="s">
        <v>2865</v>
      </c>
      <c r="J1131" s="3" t="str">
        <f>HYPERLINK("https://www.boe.es/gazeta/dias/1818/11/14/pdfs/GMD-1818-138.pdf#page=5","Abrir facsímil")</f>
        <v>Abrir facsímil</v>
      </c>
      <c r="K1131" s="3" t="s">
        <v>38</v>
      </c>
    </row>
    <row r="1132" spans="1:11" ht="42" customHeight="1">
      <c r="A1132" s="2" t="s">
        <v>2866</v>
      </c>
      <c r="B1132" s="2" t="s">
        <v>2867</v>
      </c>
      <c r="C1132" s="2" t="s">
        <v>63</v>
      </c>
      <c r="D1132" s="2" t="s">
        <v>18</v>
      </c>
      <c r="E1132" s="5">
        <v>-29617</v>
      </c>
      <c r="F1132" s="3" t="s">
        <v>995</v>
      </c>
      <c r="G1132" s="3" t="s">
        <v>45</v>
      </c>
      <c r="H1132" s="2" t="s">
        <v>36</v>
      </c>
      <c r="I1132" s="2" t="s">
        <v>2868</v>
      </c>
      <c r="J1132" s="3" t="str">
        <f>HYPERLINK("https://www.boe.es/gazeta/dias/1818/11/28/pdfs/GMD-1818-144.pdf#page=8","Abrir facsímil")</f>
        <v>Abrir facsímil</v>
      </c>
      <c r="K1132" s="3" t="s">
        <v>38</v>
      </c>
    </row>
    <row r="1133" spans="1:11" ht="42" customHeight="1">
      <c r="A1133" s="2" t="s">
        <v>2869</v>
      </c>
      <c r="B1133" s="2" t="s">
        <v>2870</v>
      </c>
      <c r="C1133" s="2" t="s">
        <v>68</v>
      </c>
      <c r="D1133" s="2" t="s">
        <v>69</v>
      </c>
      <c r="E1133" s="5">
        <v>-29941</v>
      </c>
      <c r="F1133" s="3" t="s">
        <v>2259</v>
      </c>
      <c r="G1133" s="3" t="s">
        <v>2871</v>
      </c>
      <c r="H1133" s="2" t="s">
        <v>36</v>
      </c>
      <c r="I1133" s="2" t="s">
        <v>2872</v>
      </c>
      <c r="J1133" s="3" t="str">
        <f>HYPERLINK("https://www.boe.es/gazeta/dias/1818/01/08/pdfs/GMD-1818-4.pdf#page=8","Abrir facsímil")</f>
        <v>Abrir facsímil</v>
      </c>
      <c r="K1133" s="3" t="s">
        <v>38</v>
      </c>
    </row>
    <row r="1134" spans="1:11" ht="42" customHeight="1">
      <c r="A1134" s="2" t="s">
        <v>2873</v>
      </c>
      <c r="B1134" s="2" t="s">
        <v>2874</v>
      </c>
      <c r="C1134" s="2" t="s">
        <v>68</v>
      </c>
      <c r="D1134" s="2" t="s">
        <v>69</v>
      </c>
      <c r="E1134" s="5">
        <v>-29808</v>
      </c>
      <c r="F1134" s="3" t="s">
        <v>80</v>
      </c>
      <c r="G1134" s="3" t="s">
        <v>2556</v>
      </c>
      <c r="H1134" s="2" t="s">
        <v>36</v>
      </c>
      <c r="I1134" s="2" t="s">
        <v>2875</v>
      </c>
      <c r="J1134" s="3" t="str">
        <f>HYPERLINK("https://www.boe.es/gazeta/dias/1818/05/21/pdfs/GMD-1818-61.pdf#page=8","Abrir facsímil")</f>
        <v>Abrir facsímil</v>
      </c>
      <c r="K1134" s="3" t="s">
        <v>38</v>
      </c>
    </row>
    <row r="1135" spans="1:11" ht="42" customHeight="1">
      <c r="A1135" s="2" t="s">
        <v>2876</v>
      </c>
      <c r="B1135" s="2" t="s">
        <v>2877</v>
      </c>
      <c r="C1135" s="2" t="s">
        <v>26</v>
      </c>
      <c r="D1135" s="2" t="s">
        <v>27</v>
      </c>
      <c r="E1135" s="5">
        <v>-29680</v>
      </c>
      <c r="F1135" s="3" t="s">
        <v>865</v>
      </c>
      <c r="G1135" s="3" t="s">
        <v>20</v>
      </c>
      <c r="H1135" s="2" t="s">
        <v>36</v>
      </c>
      <c r="I1135" s="2" t="s">
        <v>2878</v>
      </c>
      <c r="J1135" s="3" t="str">
        <f>HYPERLINK("https://www.boe.es/gazeta/dias/1818/09/26/pdfs/GMD-1818-116.pdf#page=7","Abrir facsímil")</f>
        <v>Abrir facsímil</v>
      </c>
      <c r="K1135" s="3" t="s">
        <v>38</v>
      </c>
    </row>
    <row r="1136" spans="1:11" ht="42" customHeight="1">
      <c r="A1136" s="2" t="s">
        <v>2879</v>
      </c>
      <c r="B1136" s="2" t="s">
        <v>2880</v>
      </c>
      <c r="C1136" s="2" t="s">
        <v>57</v>
      </c>
      <c r="D1136" s="2" t="s">
        <v>18</v>
      </c>
      <c r="E1136" s="5">
        <v>-29745</v>
      </c>
      <c r="F1136" s="3" t="s">
        <v>409</v>
      </c>
      <c r="G1136" s="3" t="s">
        <v>45</v>
      </c>
      <c r="H1136" s="2" t="s">
        <v>36</v>
      </c>
      <c r="I1136" s="2" t="s">
        <v>2881</v>
      </c>
      <c r="J1136" s="3" t="str">
        <f>HYPERLINK("https://www.boe.es/gazeta/dias/1818/07/23/pdfs/GMD-1818-88.pdf#page=8","Abrir facsímil")</f>
        <v>Abrir facsímil</v>
      </c>
      <c r="K1136" s="3" t="s">
        <v>38</v>
      </c>
    </row>
    <row r="1137" spans="1:11" ht="42" customHeight="1">
      <c r="A1137" s="2" t="s">
        <v>2882</v>
      </c>
      <c r="B1137" s="2" t="s">
        <v>2882</v>
      </c>
      <c r="C1137" s="2" t="s">
        <v>26</v>
      </c>
      <c r="D1137" s="2" t="s">
        <v>27</v>
      </c>
      <c r="E1137" s="5">
        <v>-29633</v>
      </c>
      <c r="F1137" s="3" t="s">
        <v>2162</v>
      </c>
      <c r="G1137" s="3" t="s">
        <v>2883</v>
      </c>
      <c r="H1137" s="2" t="s">
        <v>36</v>
      </c>
      <c r="I1137" s="2" t="s">
        <v>2884</v>
      </c>
      <c r="J1137" s="3" t="str">
        <f>HYPERLINK("https://www.boe.es/gazeta/dias/1818/11/12/pdfs/GMD-1818-137.pdf#page=3","Abrir facsímil")</f>
        <v>Abrir facsímil</v>
      </c>
      <c r="K1137" s="3" t="s">
        <v>38</v>
      </c>
    </row>
    <row r="1138" spans="1:11" ht="42" customHeight="1">
      <c r="A1138" s="2" t="s">
        <v>2885</v>
      </c>
      <c r="B1138" s="2" t="s">
        <v>2886</v>
      </c>
      <c r="C1138" s="2" t="s">
        <v>26</v>
      </c>
      <c r="D1138" s="2" t="s">
        <v>27</v>
      </c>
      <c r="E1138" s="5">
        <v>-29703</v>
      </c>
      <c r="F1138" s="3" t="s">
        <v>294</v>
      </c>
      <c r="G1138" s="3" t="s">
        <v>295</v>
      </c>
      <c r="H1138" s="2" t="s">
        <v>36</v>
      </c>
      <c r="I1138" s="2" t="s">
        <v>2887</v>
      </c>
      <c r="J1138" s="3" t="str">
        <f>HYPERLINK("https://www.boe.es/gazeta/dias/1818/09/03/pdfs/GMD-1818-106.pdf#page=5","Abrir facsímil")</f>
        <v>Abrir facsímil</v>
      </c>
      <c r="K1138" s="3" t="s">
        <v>38</v>
      </c>
    </row>
    <row r="1139" spans="1:11" ht="42" customHeight="1">
      <c r="A1139" s="2" t="s">
        <v>2888</v>
      </c>
      <c r="B1139" s="2" t="s">
        <v>2889</v>
      </c>
      <c r="C1139" s="2" t="s">
        <v>17</v>
      </c>
      <c r="D1139" s="2" t="s">
        <v>18</v>
      </c>
      <c r="E1139" s="5">
        <v>-29673</v>
      </c>
      <c r="F1139" s="3" t="s">
        <v>1099</v>
      </c>
      <c r="G1139" s="3" t="s">
        <v>59</v>
      </c>
      <c r="H1139" s="2" t="s">
        <v>21</v>
      </c>
      <c r="I1139" s="2" t="s">
        <v>2890</v>
      </c>
      <c r="J1139" s="3" t="str">
        <f>HYPERLINK("https://www.boe.es/gazeta/dias/1818/10/03/pdfs/GMD-1818-119.pdf#page=6","Abrir facsímil")</f>
        <v>Abrir facsímil</v>
      </c>
      <c r="K1139" s="3" t="s">
        <v>23</v>
      </c>
    </row>
    <row r="1140" spans="1:11" ht="42" customHeight="1">
      <c r="A1140" s="2" t="s">
        <v>2891</v>
      </c>
      <c r="B1140" s="2" t="s">
        <v>2892</v>
      </c>
      <c r="C1140" s="2" t="s">
        <v>68</v>
      </c>
      <c r="D1140" s="2" t="s">
        <v>69</v>
      </c>
      <c r="E1140" s="5">
        <v>-29722</v>
      </c>
      <c r="F1140" s="3" t="s">
        <v>1127</v>
      </c>
      <c r="G1140" s="3" t="s">
        <v>45</v>
      </c>
      <c r="H1140" s="2" t="s">
        <v>36</v>
      </c>
      <c r="I1140" s="2" t="s">
        <v>2893</v>
      </c>
      <c r="J1140" s="3" t="str">
        <f>HYPERLINK("https://www.boe.es/gazeta/dias/1818/08/15/pdfs/GMD-1818-98.pdf#page=8","Abrir facsímil")</f>
        <v>Abrir facsímil</v>
      </c>
      <c r="K1140" s="3" t="s">
        <v>38</v>
      </c>
    </row>
    <row r="1141" spans="1:11" ht="42" customHeight="1">
      <c r="A1141" s="2" t="s">
        <v>2891</v>
      </c>
      <c r="B1141" s="2" t="s">
        <v>2892</v>
      </c>
      <c r="C1141" s="2" t="s">
        <v>68</v>
      </c>
      <c r="D1141" s="2" t="s">
        <v>69</v>
      </c>
      <c r="E1141" s="5">
        <v>-29619</v>
      </c>
      <c r="F1141" s="3" t="s">
        <v>64</v>
      </c>
      <c r="G1141" s="3" t="s">
        <v>45</v>
      </c>
      <c r="H1141" s="2" t="s">
        <v>36</v>
      </c>
      <c r="I1141" s="2" t="s">
        <v>2894</v>
      </c>
      <c r="J1141" s="3" t="str">
        <f>HYPERLINK("https://www.boe.es/gazeta/dias/1818/11/26/pdfs/GMD-1818-143.pdf#page=8","Abrir facsímil")</f>
        <v>Abrir facsímil</v>
      </c>
      <c r="K1141" s="3" t="s">
        <v>38</v>
      </c>
    </row>
    <row r="1142" spans="1:11" ht="42" customHeight="1">
      <c r="A1142" s="2" t="s">
        <v>2895</v>
      </c>
      <c r="B1142" s="2" t="s">
        <v>2896</v>
      </c>
      <c r="C1142" s="2" t="s">
        <v>26</v>
      </c>
      <c r="D1142" s="2" t="s">
        <v>27</v>
      </c>
      <c r="E1142" s="5">
        <v>-29901</v>
      </c>
      <c r="F1142" s="3" t="s">
        <v>417</v>
      </c>
      <c r="G1142" s="3" t="s">
        <v>418</v>
      </c>
      <c r="H1142" s="2" t="s">
        <v>36</v>
      </c>
      <c r="I1142" s="2" t="s">
        <v>2897</v>
      </c>
      <c r="J1142" s="3" t="str">
        <f>HYPERLINK("https://www.boe.es/gazeta/dias/1818/02/17/pdfs/GMD-1818-21.pdf#page=9","Abrir facsímil")</f>
        <v>Abrir facsímil</v>
      </c>
      <c r="K1142" s="3" t="s">
        <v>38</v>
      </c>
    </row>
    <row r="1143" spans="1:11" ht="42" customHeight="1">
      <c r="A1143" s="2" t="s">
        <v>2895</v>
      </c>
      <c r="B1143" s="2" t="s">
        <v>2896</v>
      </c>
      <c r="C1143" s="2" t="s">
        <v>57</v>
      </c>
      <c r="D1143" s="2" t="s">
        <v>18</v>
      </c>
      <c r="E1143" s="5">
        <v>-29614</v>
      </c>
      <c r="F1143" s="3" t="s">
        <v>620</v>
      </c>
      <c r="G1143" s="3" t="s">
        <v>59</v>
      </c>
      <c r="H1143" s="2" t="s">
        <v>36</v>
      </c>
      <c r="I1143" s="2" t="s">
        <v>2898</v>
      </c>
      <c r="J1143" s="3" t="str">
        <f>HYPERLINK("https://www.boe.es/gazeta/dias/1818/12/01/pdfs/GMD-1818-145.pdf#page=6","Abrir facsímil")</f>
        <v>Abrir facsímil</v>
      </c>
      <c r="K1143" s="3" t="s">
        <v>38</v>
      </c>
    </row>
    <row r="1144" spans="1:11" ht="42" customHeight="1">
      <c r="A1144" s="2" t="s">
        <v>2899</v>
      </c>
      <c r="B1144" s="2" t="s">
        <v>2900</v>
      </c>
      <c r="C1144" s="2" t="s">
        <v>26</v>
      </c>
      <c r="D1144" s="2" t="s">
        <v>27</v>
      </c>
      <c r="E1144" s="5">
        <v>-29782</v>
      </c>
      <c r="F1144" s="3" t="s">
        <v>226</v>
      </c>
      <c r="G1144" s="3" t="s">
        <v>20</v>
      </c>
      <c r="H1144" s="2" t="s">
        <v>36</v>
      </c>
      <c r="I1144" s="2" t="s">
        <v>2901</v>
      </c>
      <c r="J1144" s="3" t="str">
        <f>HYPERLINK("https://www.boe.es/gazeta/dias/1818/06/16/pdfs/GMD-1818-72.pdf#page=7","Abrir facsímil")</f>
        <v>Abrir facsímil</v>
      </c>
      <c r="K1144" s="3" t="s">
        <v>38</v>
      </c>
    </row>
    <row r="1145" spans="1:11" ht="42" customHeight="1">
      <c r="A1145" s="2" t="s">
        <v>2902</v>
      </c>
      <c r="B1145" s="2" t="s">
        <v>2902</v>
      </c>
      <c r="C1145" s="2" t="s">
        <v>26</v>
      </c>
      <c r="D1145" s="2" t="s">
        <v>27</v>
      </c>
      <c r="E1145" s="5">
        <v>-29922</v>
      </c>
      <c r="F1145" s="3" t="s">
        <v>174</v>
      </c>
      <c r="G1145" s="3" t="s">
        <v>20</v>
      </c>
      <c r="H1145" s="2" t="s">
        <v>36</v>
      </c>
      <c r="I1145" s="2" t="s">
        <v>2903</v>
      </c>
      <c r="J1145" s="3" t="str">
        <f>HYPERLINK("https://www.boe.es/gazeta/dias/1818/01/27/pdfs/GMD-1818-12.pdf#page=7","Abrir facsímil")</f>
        <v>Abrir facsímil</v>
      </c>
      <c r="K1145" s="3" t="s">
        <v>38</v>
      </c>
    </row>
    <row r="1146" spans="1:11" ht="42" customHeight="1">
      <c r="A1146" s="2" t="s">
        <v>2902</v>
      </c>
      <c r="B1146" s="2" t="s">
        <v>2902</v>
      </c>
      <c r="C1146" s="2" t="s">
        <v>26</v>
      </c>
      <c r="D1146" s="2" t="s">
        <v>27</v>
      </c>
      <c r="E1146" s="5">
        <v>-29757</v>
      </c>
      <c r="F1146" s="3" t="s">
        <v>115</v>
      </c>
      <c r="G1146" s="3" t="s">
        <v>106</v>
      </c>
      <c r="H1146" s="2" t="s">
        <v>36</v>
      </c>
      <c r="I1146" s="2" t="s">
        <v>2904</v>
      </c>
      <c r="J1146" s="3" t="str">
        <f>HYPERLINK("https://www.boe.es/gazeta/dias/1818/07/11/pdfs/GMD-1818-83.pdf#page=5","Abrir facsímil")</f>
        <v>Abrir facsímil</v>
      </c>
      <c r="K1146" s="3" t="s">
        <v>38</v>
      </c>
    </row>
    <row r="1147" spans="1:11" ht="42" customHeight="1">
      <c r="A1147" s="2" t="s">
        <v>2905</v>
      </c>
      <c r="B1147" s="2" t="s">
        <v>2906</v>
      </c>
      <c r="C1147" s="2" t="s">
        <v>17</v>
      </c>
      <c r="D1147" s="2" t="s">
        <v>18</v>
      </c>
      <c r="E1147" s="5">
        <v>-29675</v>
      </c>
      <c r="F1147" s="3" t="s">
        <v>2314</v>
      </c>
      <c r="G1147" s="3" t="s">
        <v>45</v>
      </c>
      <c r="H1147" s="2" t="s">
        <v>36</v>
      </c>
      <c r="I1147" s="2" t="s">
        <v>2907</v>
      </c>
      <c r="J1147" s="3" t="str">
        <f>HYPERLINK("https://www.boe.es/gazeta/dias/1818/10/01/pdfs/GMD-1818-118.pdf#page=8","Abrir facsímil")</f>
        <v>Abrir facsímil</v>
      </c>
      <c r="K1147" s="3" t="s">
        <v>38</v>
      </c>
    </row>
    <row r="1148" spans="1:11" ht="42" customHeight="1">
      <c r="A1148" s="2" t="s">
        <v>2908</v>
      </c>
      <c r="B1148" s="2" t="s">
        <v>2909</v>
      </c>
      <c r="C1148" s="2" t="s">
        <v>26</v>
      </c>
      <c r="D1148" s="2" t="s">
        <v>27</v>
      </c>
      <c r="E1148" s="5">
        <v>-29831</v>
      </c>
      <c r="F1148" s="3" t="s">
        <v>567</v>
      </c>
      <c r="G1148" s="3" t="s">
        <v>20</v>
      </c>
      <c r="H1148" s="2" t="s">
        <v>36</v>
      </c>
      <c r="I1148" s="2" t="s">
        <v>2910</v>
      </c>
      <c r="J1148" s="3" t="str">
        <f>HYPERLINK("https://www.boe.es/gazeta/dias/1818/04/28/pdfs/GMD-1818-51.pdf#page=7","Abrir facsímil")</f>
        <v>Abrir facsímil</v>
      </c>
      <c r="K1148" s="3" t="s">
        <v>38</v>
      </c>
    </row>
    <row r="1149" spans="1:11" ht="42" customHeight="1">
      <c r="A1149" s="2" t="s">
        <v>2911</v>
      </c>
      <c r="B1149" s="2" t="s">
        <v>2912</v>
      </c>
      <c r="C1149" s="2" t="s">
        <v>26</v>
      </c>
      <c r="D1149" s="2" t="s">
        <v>27</v>
      </c>
      <c r="E1149" s="5">
        <v>-29922</v>
      </c>
      <c r="F1149" s="3" t="s">
        <v>174</v>
      </c>
      <c r="G1149" s="3" t="s">
        <v>20</v>
      </c>
      <c r="H1149" s="2" t="s">
        <v>36</v>
      </c>
      <c r="I1149" s="2" t="s">
        <v>2913</v>
      </c>
      <c r="J1149" s="3" t="str">
        <f>HYPERLINK("https://www.boe.es/gazeta/dias/1818/01/27/pdfs/GMD-1818-12.pdf#page=7","Abrir facsímil")</f>
        <v>Abrir facsímil</v>
      </c>
      <c r="K1149" s="3" t="s">
        <v>38</v>
      </c>
    </row>
    <row r="1150" spans="1:11" ht="42" customHeight="1">
      <c r="A1150" s="2" t="s">
        <v>2914</v>
      </c>
      <c r="B1150" s="2" t="s">
        <v>2915</v>
      </c>
      <c r="C1150" s="2" t="s">
        <v>26</v>
      </c>
      <c r="D1150" s="2" t="s">
        <v>27</v>
      </c>
      <c r="E1150" s="5">
        <v>-29946</v>
      </c>
      <c r="F1150" s="3" t="s">
        <v>724</v>
      </c>
      <c r="G1150" s="3" t="s">
        <v>20</v>
      </c>
      <c r="H1150" s="2" t="s">
        <v>36</v>
      </c>
      <c r="I1150" s="2" t="s">
        <v>2916</v>
      </c>
      <c r="J1150" s="3" t="str">
        <f>HYPERLINK("https://www.boe.es/gazeta/dias/1818/01/03/pdfs/GMD-1818-2.pdf#page=7","Abrir facsímil")</f>
        <v>Abrir facsímil</v>
      </c>
      <c r="K1150" s="3" t="s">
        <v>38</v>
      </c>
    </row>
    <row r="1151" spans="1:11" ht="42" customHeight="1">
      <c r="A1151" s="2" t="s">
        <v>2917</v>
      </c>
      <c r="B1151" s="2" t="s">
        <v>2917</v>
      </c>
      <c r="C1151" s="2" t="s">
        <v>68</v>
      </c>
      <c r="D1151" s="2" t="s">
        <v>69</v>
      </c>
      <c r="E1151" s="5">
        <v>-29745</v>
      </c>
      <c r="F1151" s="3" t="s">
        <v>409</v>
      </c>
      <c r="G1151" s="3" t="s">
        <v>49</v>
      </c>
      <c r="H1151" s="2" t="s">
        <v>36</v>
      </c>
      <c r="I1151" s="2" t="s">
        <v>2918</v>
      </c>
      <c r="J1151" s="3" t="str">
        <f>HYPERLINK("https://www.boe.es/gazeta/dias/1818/07/23/pdfs/GMD-1818-88.pdf#page=1","Abrir facsímil")</f>
        <v>Abrir facsímil</v>
      </c>
      <c r="K1151" s="3" t="s">
        <v>38</v>
      </c>
    </row>
    <row r="1152" spans="1:11" ht="42" customHeight="1">
      <c r="A1152" s="2" t="s">
        <v>2919</v>
      </c>
      <c r="B1152" s="2" t="s">
        <v>2920</v>
      </c>
      <c r="C1152" s="2" t="s">
        <v>57</v>
      </c>
      <c r="D1152" s="2" t="s">
        <v>18</v>
      </c>
      <c r="E1152" s="5">
        <v>-29719</v>
      </c>
      <c r="F1152" s="3" t="s">
        <v>243</v>
      </c>
      <c r="G1152" s="3" t="s">
        <v>2921</v>
      </c>
      <c r="H1152" s="2" t="s">
        <v>21</v>
      </c>
      <c r="I1152" s="2" t="s">
        <v>2922</v>
      </c>
      <c r="J1152" s="3" t="str">
        <f>HYPERLINK("https://www.boe.es/gazeta/dias/1818/08/18/pdfs/GMD-1818-99.pdf#page=12","Abrir facsímil")</f>
        <v>Abrir facsímil</v>
      </c>
      <c r="K1152" s="3" t="s">
        <v>23</v>
      </c>
    </row>
    <row r="1153" spans="1:11" ht="42" customHeight="1">
      <c r="A1153" s="2" t="s">
        <v>2923</v>
      </c>
      <c r="B1153" s="2" t="s">
        <v>2924</v>
      </c>
      <c r="C1153" s="2" t="s">
        <v>26</v>
      </c>
      <c r="D1153" s="2" t="s">
        <v>27</v>
      </c>
      <c r="E1153" s="5">
        <v>-29754</v>
      </c>
      <c r="F1153" s="3" t="s">
        <v>466</v>
      </c>
      <c r="G1153" s="3" t="s">
        <v>106</v>
      </c>
      <c r="H1153" s="2" t="s">
        <v>36</v>
      </c>
      <c r="I1153" s="2" t="s">
        <v>2925</v>
      </c>
      <c r="J1153" s="3" t="str">
        <f>HYPERLINK("https://www.boe.es/gazeta/dias/1818/07/14/pdfs/GMD-1818-84.pdf#page=5","Abrir facsímil")</f>
        <v>Abrir facsímil</v>
      </c>
      <c r="K1153" s="3" t="s">
        <v>38</v>
      </c>
    </row>
    <row r="1154" spans="1:11" ht="42" customHeight="1">
      <c r="A1154" s="2" t="s">
        <v>2923</v>
      </c>
      <c r="B1154" s="2" t="s">
        <v>2924</v>
      </c>
      <c r="C1154" s="2" t="s">
        <v>57</v>
      </c>
      <c r="D1154" s="2" t="s">
        <v>18</v>
      </c>
      <c r="E1154" s="5">
        <v>-29701</v>
      </c>
      <c r="F1154" s="3" t="s">
        <v>596</v>
      </c>
      <c r="G1154" s="3" t="s">
        <v>59</v>
      </c>
      <c r="H1154" s="2" t="s">
        <v>36</v>
      </c>
      <c r="I1154" s="2" t="s">
        <v>2926</v>
      </c>
      <c r="J1154" s="3" t="str">
        <f>HYPERLINK("https://www.boe.es/gazeta/dias/1818/09/05/pdfs/GMD-1818-107.pdf#page=6","Abrir facsímil")</f>
        <v>Abrir facsímil</v>
      </c>
      <c r="K1154" s="3" t="s">
        <v>38</v>
      </c>
    </row>
    <row r="1155" spans="1:11" ht="42" customHeight="1">
      <c r="A1155" s="2" t="s">
        <v>2927</v>
      </c>
      <c r="B1155" s="2" t="s">
        <v>2928</v>
      </c>
      <c r="C1155" s="2" t="s">
        <v>57</v>
      </c>
      <c r="D1155" s="2" t="s">
        <v>18</v>
      </c>
      <c r="E1155" s="5">
        <v>-29687</v>
      </c>
      <c r="F1155" s="3" t="s">
        <v>686</v>
      </c>
      <c r="G1155" s="3" t="s">
        <v>59</v>
      </c>
      <c r="H1155" s="2" t="s">
        <v>36</v>
      </c>
      <c r="I1155" s="2" t="s">
        <v>2929</v>
      </c>
      <c r="J1155" s="3" t="str">
        <f>HYPERLINK("https://www.boe.es/gazeta/dias/1818/09/19/pdfs/GMD-1818-113.pdf#page=6","Abrir facsímil")</f>
        <v>Abrir facsímil</v>
      </c>
      <c r="K1155" s="3" t="s">
        <v>38</v>
      </c>
    </row>
    <row r="1156" spans="1:11" ht="42" customHeight="1">
      <c r="A1156" s="2" t="s">
        <v>2930</v>
      </c>
      <c r="B1156" s="2" t="s">
        <v>2931</v>
      </c>
      <c r="C1156" s="2" t="s">
        <v>17</v>
      </c>
      <c r="D1156" s="2" t="s">
        <v>18</v>
      </c>
      <c r="E1156" s="5">
        <v>-29673</v>
      </c>
      <c r="F1156" s="3" t="s">
        <v>1099</v>
      </c>
      <c r="G1156" s="3" t="s">
        <v>59</v>
      </c>
      <c r="H1156" s="2" t="s">
        <v>36</v>
      </c>
      <c r="I1156" s="2" t="s">
        <v>2932</v>
      </c>
      <c r="J1156" s="3" t="str">
        <f>HYPERLINK("https://www.boe.es/gazeta/dias/1818/10/03/pdfs/GMD-1818-119.pdf#page=6","Abrir facsímil")</f>
        <v>Abrir facsímil</v>
      </c>
      <c r="K1156" s="3" t="s">
        <v>38</v>
      </c>
    </row>
    <row r="1157" spans="1:11" ht="42" customHeight="1">
      <c r="A1157" s="2" t="s">
        <v>2933</v>
      </c>
      <c r="B1157" s="2" t="s">
        <v>2934</v>
      </c>
      <c r="C1157" s="2" t="s">
        <v>63</v>
      </c>
      <c r="D1157" s="2" t="s">
        <v>18</v>
      </c>
      <c r="E1157" s="5">
        <v>-29614</v>
      </c>
      <c r="F1157" s="3" t="s">
        <v>620</v>
      </c>
      <c r="G1157" s="3" t="s">
        <v>45</v>
      </c>
      <c r="H1157" s="2" t="s">
        <v>36</v>
      </c>
      <c r="I1157" s="2" t="s">
        <v>2935</v>
      </c>
      <c r="J1157" s="3" t="str">
        <f>HYPERLINK("https://www.boe.es/gazeta/dias/1818/12/01/pdfs/GMD-1818-145.pdf#page=8","Abrir facsímil")</f>
        <v>Abrir facsímil</v>
      </c>
      <c r="K1157" s="3" t="s">
        <v>38</v>
      </c>
    </row>
    <row r="1158" spans="1:11" ht="42" customHeight="1">
      <c r="A1158" s="2" t="s">
        <v>2936</v>
      </c>
      <c r="B1158" s="2" t="s">
        <v>2937</v>
      </c>
      <c r="C1158" s="2" t="s">
        <v>17</v>
      </c>
      <c r="D1158" s="2" t="s">
        <v>18</v>
      </c>
      <c r="E1158" s="5">
        <v>-29708</v>
      </c>
      <c r="F1158" s="3" t="s">
        <v>413</v>
      </c>
      <c r="G1158" s="3" t="s">
        <v>106</v>
      </c>
      <c r="H1158" s="2" t="s">
        <v>36</v>
      </c>
      <c r="I1158" s="2" t="s">
        <v>2938</v>
      </c>
      <c r="J1158" s="3" t="str">
        <f>HYPERLINK("https://www.boe.es/gazeta/dias/1818/08/29/pdfs/GMD-1818-104.pdf#page=5","Abrir facsímil")</f>
        <v>Abrir facsímil</v>
      </c>
      <c r="K1158" s="3" t="s">
        <v>38</v>
      </c>
    </row>
    <row r="1159" spans="1:11" ht="42" customHeight="1">
      <c r="A1159" s="2" t="s">
        <v>2939</v>
      </c>
      <c r="B1159" s="2" t="s">
        <v>2940</v>
      </c>
      <c r="C1159" s="2" t="s">
        <v>26</v>
      </c>
      <c r="D1159" s="2" t="s">
        <v>27</v>
      </c>
      <c r="E1159" s="5">
        <v>-29654</v>
      </c>
      <c r="F1159" s="3" t="s">
        <v>219</v>
      </c>
      <c r="G1159" s="3" t="s">
        <v>29</v>
      </c>
      <c r="H1159" s="2" t="s">
        <v>36</v>
      </c>
      <c r="I1159" s="2" t="s">
        <v>2941</v>
      </c>
      <c r="J1159" s="3" t="str">
        <f>HYPERLINK("https://www.boe.es/gazeta/dias/1818/10/22/pdfs/GMD-1818-128.pdf#page=4","Abrir facsímil")</f>
        <v>Abrir facsímil</v>
      </c>
      <c r="K1159" s="3" t="s">
        <v>38</v>
      </c>
    </row>
    <row r="1160" spans="1:11" ht="42" customHeight="1">
      <c r="A1160" s="2" t="s">
        <v>2942</v>
      </c>
      <c r="B1160" s="2" t="s">
        <v>2943</v>
      </c>
      <c r="C1160" s="2" t="s">
        <v>57</v>
      </c>
      <c r="D1160" s="2" t="s">
        <v>18</v>
      </c>
      <c r="E1160" s="5">
        <v>-29738</v>
      </c>
      <c r="F1160" s="3" t="s">
        <v>263</v>
      </c>
      <c r="G1160" s="3" t="s">
        <v>71</v>
      </c>
      <c r="H1160" s="2" t="s">
        <v>21</v>
      </c>
      <c r="I1160" s="2" t="s">
        <v>2944</v>
      </c>
      <c r="J1160" s="3" t="str">
        <f>HYPERLINK("https://www.boe.es/gazeta/dias/1818/07/30/pdfs/GMD-1818-91.pdf#page=16","Abrir facsímil")</f>
        <v>Abrir facsímil</v>
      </c>
      <c r="K1160" s="3" t="s">
        <v>23</v>
      </c>
    </row>
    <row r="1161" spans="1:11" ht="42" customHeight="1">
      <c r="A1161" s="2" t="s">
        <v>2945</v>
      </c>
      <c r="B1161" s="2" t="s">
        <v>2946</v>
      </c>
      <c r="C1161" s="2" t="s">
        <v>57</v>
      </c>
      <c r="D1161" s="2" t="s">
        <v>18</v>
      </c>
      <c r="E1161" s="5">
        <v>-29663</v>
      </c>
      <c r="F1161" s="3" t="s">
        <v>1011</v>
      </c>
      <c r="G1161" s="3" t="s">
        <v>45</v>
      </c>
      <c r="H1161" s="2" t="s">
        <v>21</v>
      </c>
      <c r="I1161" s="2" t="s">
        <v>2947</v>
      </c>
      <c r="J1161" s="3" t="str">
        <f>HYPERLINK("https://www.boe.es/gazeta/dias/1818/10/13/pdfs/GMD-1818-123.pdf#page=8","Abrir facsímil")</f>
        <v>Abrir facsímil</v>
      </c>
      <c r="K1161" s="3" t="s">
        <v>23</v>
      </c>
    </row>
    <row r="1162" spans="1:11" ht="42" customHeight="1">
      <c r="A1162" s="2" t="s">
        <v>2948</v>
      </c>
      <c r="B1162" s="2" t="s">
        <v>2949</v>
      </c>
      <c r="C1162" s="2" t="s">
        <v>57</v>
      </c>
      <c r="D1162" s="2" t="s">
        <v>18</v>
      </c>
      <c r="E1162" s="5">
        <v>-29736</v>
      </c>
      <c r="F1162" s="3" t="s">
        <v>581</v>
      </c>
      <c r="G1162" s="3" t="s">
        <v>59</v>
      </c>
      <c r="H1162" s="2" t="s">
        <v>36</v>
      </c>
      <c r="I1162" s="2" t="s">
        <v>2950</v>
      </c>
      <c r="J1162" s="3" t="str">
        <f>HYPERLINK("https://www.boe.es/gazeta/dias/1818/08/01/pdfs/GMD-1818-92.pdf#page=6","Abrir facsímil")</f>
        <v>Abrir facsímil</v>
      </c>
      <c r="K1162" s="3" t="s">
        <v>38</v>
      </c>
    </row>
    <row r="1163" spans="1:11" ht="42" customHeight="1">
      <c r="A1163" s="2" t="s">
        <v>2951</v>
      </c>
      <c r="B1163" s="2" t="s">
        <v>2951</v>
      </c>
      <c r="C1163" s="2" t="s">
        <v>68</v>
      </c>
      <c r="D1163" s="2" t="s">
        <v>69</v>
      </c>
      <c r="E1163" s="5">
        <v>-29717</v>
      </c>
      <c r="F1163" s="3" t="s">
        <v>1644</v>
      </c>
      <c r="G1163" s="3" t="s">
        <v>1645</v>
      </c>
      <c r="H1163" s="2" t="s">
        <v>36</v>
      </c>
      <c r="I1163" s="2" t="s">
        <v>2952</v>
      </c>
      <c r="J1163" s="3" t="str">
        <f>HYPERLINK("https://www.boe.es/gazeta/dias/1818/08/20/pdfs/GMD-1818-100.pdf#page=2","Abrir facsímil")</f>
        <v>Abrir facsímil</v>
      </c>
      <c r="K1163" s="3" t="s">
        <v>38</v>
      </c>
    </row>
    <row r="1164" spans="1:11" ht="42" customHeight="1">
      <c r="A1164" s="2" t="s">
        <v>2953</v>
      </c>
      <c r="B1164" s="2" t="s">
        <v>2953</v>
      </c>
      <c r="C1164" s="2" t="s">
        <v>57</v>
      </c>
      <c r="D1164" s="2" t="s">
        <v>18</v>
      </c>
      <c r="E1164" s="5">
        <v>-29908</v>
      </c>
      <c r="F1164" s="3" t="s">
        <v>695</v>
      </c>
      <c r="G1164" s="3" t="s">
        <v>49</v>
      </c>
      <c r="H1164" s="2" t="s">
        <v>36</v>
      </c>
      <c r="I1164" s="2" t="s">
        <v>2954</v>
      </c>
      <c r="J1164" s="3" t="str">
        <f>HYPERLINK("https://www.boe.es/gazeta/dias/1818/02/10/pdfs/GMD-1818-18.pdf#page=1","Abrir facsímil")</f>
        <v>Abrir facsímil</v>
      </c>
      <c r="K1164" s="3" t="s">
        <v>38</v>
      </c>
    </row>
    <row r="1165" spans="1:11" ht="42" customHeight="1">
      <c r="A1165" s="2" t="s">
        <v>2955</v>
      </c>
      <c r="B1165" s="2" t="s">
        <v>2956</v>
      </c>
      <c r="C1165" s="2" t="s">
        <v>26</v>
      </c>
      <c r="D1165" s="2" t="s">
        <v>27</v>
      </c>
      <c r="E1165" s="5">
        <v>-29731</v>
      </c>
      <c r="F1165" s="3" t="s">
        <v>299</v>
      </c>
      <c r="G1165" s="3" t="s">
        <v>59</v>
      </c>
      <c r="H1165" s="2" t="s">
        <v>36</v>
      </c>
      <c r="I1165" s="2" t="s">
        <v>2957</v>
      </c>
      <c r="J1165" s="3" t="str">
        <f>HYPERLINK("https://www.boe.es/gazeta/dias/1818/08/06/pdfs/GMD-1818-94.pdf#page=6","Abrir facsímil")</f>
        <v>Abrir facsímil</v>
      </c>
      <c r="K1165" s="3" t="s">
        <v>38</v>
      </c>
    </row>
    <row r="1166" spans="1:11" ht="42" customHeight="1">
      <c r="A1166" s="2" t="s">
        <v>2958</v>
      </c>
      <c r="B1166" s="2" t="s">
        <v>2959</v>
      </c>
      <c r="C1166" s="2" t="s">
        <v>26</v>
      </c>
      <c r="D1166" s="2" t="s">
        <v>27</v>
      </c>
      <c r="E1166" s="5">
        <v>-29806</v>
      </c>
      <c r="F1166" s="3" t="s">
        <v>84</v>
      </c>
      <c r="G1166" s="3" t="s">
        <v>59</v>
      </c>
      <c r="H1166" s="2" t="s">
        <v>36</v>
      </c>
      <c r="I1166" s="2" t="s">
        <v>2960</v>
      </c>
      <c r="J1166" s="3" t="str">
        <f>HYPERLINK("https://www.boe.es/gazeta/dias/1818/05/23/pdfs/GMD-1818-62.pdf#page=6","Abrir facsímil")</f>
        <v>Abrir facsímil</v>
      </c>
      <c r="K1166" s="3" t="s">
        <v>38</v>
      </c>
    </row>
    <row r="1167" spans="1:11" ht="42" customHeight="1">
      <c r="A1167" s="2" t="s">
        <v>2958</v>
      </c>
      <c r="B1167" s="2" t="s">
        <v>2959</v>
      </c>
      <c r="C1167" s="2" t="s">
        <v>26</v>
      </c>
      <c r="D1167" s="2" t="s">
        <v>27</v>
      </c>
      <c r="E1167" s="5">
        <v>-29684</v>
      </c>
      <c r="F1167" s="3" t="s">
        <v>311</v>
      </c>
      <c r="G1167" s="3" t="s">
        <v>106</v>
      </c>
      <c r="H1167" s="2" t="s">
        <v>36</v>
      </c>
      <c r="I1167" s="2" t="s">
        <v>2961</v>
      </c>
      <c r="J1167" s="3" t="str">
        <f>HYPERLINK("https://www.boe.es/gazeta/dias/1818/09/22/pdfs/GMD-1818-114.pdf#page=5","Abrir facsímil")</f>
        <v>Abrir facsímil</v>
      </c>
      <c r="K1167" s="3" t="s">
        <v>38</v>
      </c>
    </row>
    <row r="1168" spans="1:11" ht="42" customHeight="1">
      <c r="A1168" s="2" t="s">
        <v>2958</v>
      </c>
      <c r="B1168" s="2" t="s">
        <v>2959</v>
      </c>
      <c r="C1168" s="2" t="s">
        <v>97</v>
      </c>
      <c r="D1168" s="2" t="s">
        <v>18</v>
      </c>
      <c r="E1168" s="5">
        <v>-29684</v>
      </c>
      <c r="F1168" s="3" t="s">
        <v>311</v>
      </c>
      <c r="G1168" s="3" t="s">
        <v>59</v>
      </c>
      <c r="H1168" s="2" t="s">
        <v>36</v>
      </c>
      <c r="I1168" s="2" t="s">
        <v>2962</v>
      </c>
      <c r="J1168" s="3" t="str">
        <f>HYPERLINK("https://www.boe.es/gazeta/dias/1818/09/22/pdfs/GMD-1818-114.pdf#page=6","Abrir facsímil")</f>
        <v>Abrir facsímil</v>
      </c>
      <c r="K1168" s="3" t="s">
        <v>38</v>
      </c>
    </row>
    <row r="1169" spans="1:11" ht="42" customHeight="1">
      <c r="A1169" s="2" t="s">
        <v>2963</v>
      </c>
      <c r="B1169" s="2" t="s">
        <v>2964</v>
      </c>
      <c r="C1169" s="2" t="s">
        <v>26</v>
      </c>
      <c r="D1169" s="2" t="s">
        <v>27</v>
      </c>
      <c r="E1169" s="5">
        <v>-29680</v>
      </c>
      <c r="F1169" s="3" t="s">
        <v>865</v>
      </c>
      <c r="G1169" s="3" t="s">
        <v>20</v>
      </c>
      <c r="H1169" s="2" t="s">
        <v>36</v>
      </c>
      <c r="I1169" s="2" t="s">
        <v>2965</v>
      </c>
      <c r="J1169" s="3" t="str">
        <f>HYPERLINK("https://www.boe.es/gazeta/dias/1818/09/26/pdfs/GMD-1818-116.pdf#page=7","Abrir facsímil")</f>
        <v>Abrir facsímil</v>
      </c>
      <c r="K1169" s="3" t="s">
        <v>38</v>
      </c>
    </row>
    <row r="1170" spans="1:11" ht="42" customHeight="1">
      <c r="A1170" s="2" t="s">
        <v>2966</v>
      </c>
      <c r="B1170" s="2" t="s">
        <v>2967</v>
      </c>
      <c r="C1170" s="2" t="s">
        <v>26</v>
      </c>
      <c r="D1170" s="2" t="s">
        <v>27</v>
      </c>
      <c r="E1170" s="5">
        <v>-29904</v>
      </c>
      <c r="F1170" s="3" t="s">
        <v>451</v>
      </c>
      <c r="G1170" s="3" t="s">
        <v>45</v>
      </c>
      <c r="H1170" s="2" t="s">
        <v>36</v>
      </c>
      <c r="I1170" s="2" t="s">
        <v>2968</v>
      </c>
      <c r="J1170" s="3" t="str">
        <f>HYPERLINK("https://www.boe.es/gazeta/dias/1818/02/14/pdfs/GMD-1818-20.pdf#page=8","Abrir facsímil")</f>
        <v>Abrir facsímil</v>
      </c>
      <c r="K1170" s="3" t="s">
        <v>38</v>
      </c>
    </row>
    <row r="1171" spans="1:11" ht="42" customHeight="1">
      <c r="A1171" s="2" t="s">
        <v>2969</v>
      </c>
      <c r="B1171" s="2" t="s">
        <v>2970</v>
      </c>
      <c r="C1171" s="2" t="s">
        <v>57</v>
      </c>
      <c r="D1171" s="2" t="s">
        <v>18</v>
      </c>
      <c r="E1171" s="5">
        <v>-29820</v>
      </c>
      <c r="F1171" s="3" t="s">
        <v>2971</v>
      </c>
      <c r="G1171" s="3" t="s">
        <v>2972</v>
      </c>
      <c r="H1171" s="2" t="s">
        <v>36</v>
      </c>
      <c r="I1171" s="2" t="s">
        <v>2973</v>
      </c>
      <c r="J1171" s="3" t="str">
        <f>HYPERLINK("https://www.boe.es/gazeta/dias/1818/05/09/pdfs/GMD-1818-56.pdf#page=8","Abrir facsímil")</f>
        <v>Abrir facsímil</v>
      </c>
      <c r="K1171" s="3" t="s">
        <v>38</v>
      </c>
    </row>
    <row r="1172" spans="1:11" ht="42" customHeight="1">
      <c r="A1172" s="2" t="s">
        <v>2974</v>
      </c>
      <c r="B1172" s="2" t="s">
        <v>2974</v>
      </c>
      <c r="C1172" s="2" t="s">
        <v>26</v>
      </c>
      <c r="D1172" s="2" t="s">
        <v>27</v>
      </c>
      <c r="E1172" s="5">
        <v>-29694</v>
      </c>
      <c r="F1172" s="3" t="s">
        <v>528</v>
      </c>
      <c r="G1172" s="3" t="s">
        <v>2975</v>
      </c>
      <c r="H1172" s="2" t="s">
        <v>36</v>
      </c>
      <c r="I1172" s="2" t="s">
        <v>2976</v>
      </c>
      <c r="J1172" s="3" t="str">
        <f>HYPERLINK("https://www.boe.es/gazeta/dias/1818/09/12/pdfs/GMD-1818-110.pdf#page=2","Abrir facsímil")</f>
        <v>Abrir facsímil</v>
      </c>
      <c r="K1172" s="3" t="s">
        <v>38</v>
      </c>
    </row>
    <row r="1173" spans="1:11" ht="42" customHeight="1">
      <c r="A1173" s="2" t="s">
        <v>2977</v>
      </c>
      <c r="B1173" s="2" t="s">
        <v>2978</v>
      </c>
      <c r="C1173" s="2" t="s">
        <v>26</v>
      </c>
      <c r="D1173" s="2" t="s">
        <v>27</v>
      </c>
      <c r="E1173" s="5">
        <v>-29624</v>
      </c>
      <c r="F1173" s="3" t="s">
        <v>131</v>
      </c>
      <c r="G1173" s="3" t="s">
        <v>1230</v>
      </c>
      <c r="H1173" s="2" t="s">
        <v>36</v>
      </c>
      <c r="I1173" s="2" t="s">
        <v>2979</v>
      </c>
      <c r="J1173" s="3" t="str">
        <f>HYPERLINK("https://www.boe.es/gazeta/dias/1818/11/21/pdfs/GMD-1818-141.pdf#page=6","Abrir facsímil")</f>
        <v>Abrir facsímil</v>
      </c>
      <c r="K1173" s="3" t="s">
        <v>38</v>
      </c>
    </row>
    <row r="1174" spans="1:11" ht="42" customHeight="1">
      <c r="A1174" s="2" t="s">
        <v>2980</v>
      </c>
      <c r="B1174" s="2" t="s">
        <v>2981</v>
      </c>
      <c r="C1174" s="2" t="s">
        <v>26</v>
      </c>
      <c r="D1174" s="2" t="s">
        <v>27</v>
      </c>
      <c r="E1174" s="5">
        <v>-29920</v>
      </c>
      <c r="F1174" s="3" t="s">
        <v>201</v>
      </c>
      <c r="G1174" s="3" t="s">
        <v>111</v>
      </c>
      <c r="H1174" s="2" t="s">
        <v>36</v>
      </c>
      <c r="I1174" s="2" t="s">
        <v>2982</v>
      </c>
      <c r="J1174" s="3" t="str">
        <f>HYPERLINK("https://www.boe.es/gazeta/dias/1818/01/29/pdfs/GMD-1818-13.pdf#page=11","Abrir facsímil")</f>
        <v>Abrir facsímil</v>
      </c>
      <c r="K1174" s="3" t="s">
        <v>38</v>
      </c>
    </row>
    <row r="1175" spans="1:11" ht="42" customHeight="1">
      <c r="A1175" s="2" t="s">
        <v>2983</v>
      </c>
      <c r="B1175" s="2" t="s">
        <v>2984</v>
      </c>
      <c r="C1175" s="2" t="s">
        <v>63</v>
      </c>
      <c r="D1175" s="2" t="s">
        <v>18</v>
      </c>
      <c r="E1175" s="5">
        <v>-29698</v>
      </c>
      <c r="F1175" s="3" t="s">
        <v>148</v>
      </c>
      <c r="G1175" s="3" t="s">
        <v>20</v>
      </c>
      <c r="H1175" s="2" t="s">
        <v>36</v>
      </c>
      <c r="I1175" s="2" t="s">
        <v>2985</v>
      </c>
      <c r="J1175" s="3" t="str">
        <f>HYPERLINK("https://www.boe.es/gazeta/dias/1818/09/08/pdfs/GMD-1818-108.pdf#page=7","Abrir facsímil")</f>
        <v>Abrir facsímil</v>
      </c>
      <c r="K1175" s="3" t="s">
        <v>38</v>
      </c>
    </row>
    <row r="1176" spans="1:11" ht="42" customHeight="1">
      <c r="A1176" s="2" t="s">
        <v>2986</v>
      </c>
      <c r="B1176" s="2" t="s">
        <v>2987</v>
      </c>
      <c r="C1176" s="2" t="s">
        <v>26</v>
      </c>
      <c r="D1176" s="2" t="s">
        <v>27</v>
      </c>
      <c r="E1176" s="5">
        <v>-29920</v>
      </c>
      <c r="F1176" s="3" t="s">
        <v>201</v>
      </c>
      <c r="G1176" s="3" t="s">
        <v>71</v>
      </c>
      <c r="H1176" s="2" t="s">
        <v>36</v>
      </c>
      <c r="I1176" s="2" t="s">
        <v>2988</v>
      </c>
      <c r="J1176" s="3" t="str">
        <f>HYPERLINK("https://www.boe.es/gazeta/dias/1818/01/29/pdfs/GMD-1818-13.pdf#page=16","Abrir facsímil")</f>
        <v>Abrir facsímil</v>
      </c>
      <c r="K1176" s="3" t="s">
        <v>38</v>
      </c>
    </row>
    <row r="1177" spans="1:11" ht="42" customHeight="1">
      <c r="A1177" s="2" t="s">
        <v>2989</v>
      </c>
      <c r="B1177" s="2" t="s">
        <v>2990</v>
      </c>
      <c r="C1177" s="2" t="s">
        <v>17</v>
      </c>
      <c r="D1177" s="2" t="s">
        <v>18</v>
      </c>
      <c r="E1177" s="5">
        <v>-29880</v>
      </c>
      <c r="F1177" s="3" t="s">
        <v>359</v>
      </c>
      <c r="G1177" s="3" t="s">
        <v>20</v>
      </c>
      <c r="H1177" s="2" t="s">
        <v>36</v>
      </c>
      <c r="I1177" s="2" t="s">
        <v>2991</v>
      </c>
      <c r="J1177" s="3" t="str">
        <f>HYPERLINK("https://www.boe.es/gazeta/dias/1818/03/10/pdfs/GMD-1818-30.pdf#page=7","Abrir facsímil")</f>
        <v>Abrir facsímil</v>
      </c>
      <c r="K1177" s="3" t="s">
        <v>38</v>
      </c>
    </row>
    <row r="1178" spans="1:11" ht="42" customHeight="1">
      <c r="A1178" s="2" t="s">
        <v>2992</v>
      </c>
      <c r="B1178" s="2" t="s">
        <v>2993</v>
      </c>
      <c r="C1178" s="2" t="s">
        <v>215</v>
      </c>
      <c r="D1178" s="2" t="s">
        <v>18</v>
      </c>
      <c r="E1178" s="5">
        <v>-29948</v>
      </c>
      <c r="F1178" s="3" t="s">
        <v>199</v>
      </c>
      <c r="G1178" s="3" t="s">
        <v>2994</v>
      </c>
      <c r="H1178" s="2" t="s">
        <v>36</v>
      </c>
      <c r="I1178" s="2" t="s">
        <v>2995</v>
      </c>
      <c r="J1178" s="3" t="str">
        <f>HYPERLINK("https://www.boe.es/gazeta/dias/1818/01/01/pdfs/GMD-1818-1.pdf#page=3","Abrir facsímil")</f>
        <v>Abrir facsímil</v>
      </c>
      <c r="K1178" s="3" t="s">
        <v>38</v>
      </c>
    </row>
    <row r="1179" spans="1:11" ht="42" customHeight="1">
      <c r="A1179" s="2" t="s">
        <v>2996</v>
      </c>
      <c r="B1179" s="2" t="s">
        <v>2996</v>
      </c>
      <c r="C1179" s="2" t="s">
        <v>26</v>
      </c>
      <c r="D1179" s="2" t="s">
        <v>27</v>
      </c>
      <c r="E1179" s="5">
        <v>-29897</v>
      </c>
      <c r="F1179" s="3" t="s">
        <v>318</v>
      </c>
      <c r="G1179" s="3" t="s">
        <v>29</v>
      </c>
      <c r="H1179" s="2" t="s">
        <v>36</v>
      </c>
      <c r="I1179" s="2" t="s">
        <v>2997</v>
      </c>
      <c r="J1179" s="3" t="str">
        <f>HYPERLINK("https://www.boe.es/gazeta/dias/1818/02/21/pdfs/GMD-1818-23.pdf#page=4","Abrir facsímil")</f>
        <v>Abrir facsímil</v>
      </c>
      <c r="K1179" s="3" t="s">
        <v>38</v>
      </c>
    </row>
    <row r="1180" spans="1:11" ht="42" customHeight="1">
      <c r="A1180" s="2" t="s">
        <v>2998</v>
      </c>
      <c r="B1180" s="2" t="s">
        <v>2998</v>
      </c>
      <c r="C1180" s="2" t="s">
        <v>97</v>
      </c>
      <c r="D1180" s="2" t="s">
        <v>18</v>
      </c>
      <c r="E1180" s="5">
        <v>-29848</v>
      </c>
      <c r="F1180" s="3" t="s">
        <v>571</v>
      </c>
      <c r="G1180" s="3" t="s">
        <v>45</v>
      </c>
      <c r="H1180" s="2" t="s">
        <v>36</v>
      </c>
      <c r="I1180" s="2" t="s">
        <v>2999</v>
      </c>
      <c r="J1180" s="3" t="str">
        <f>HYPERLINK("https://www.boe.es/gazeta/dias/1818/04/11/pdfs/GMD-1818-44.pdf#page=8","Abrir facsímil")</f>
        <v>Abrir facsímil</v>
      </c>
      <c r="K1180" s="3" t="s">
        <v>38</v>
      </c>
    </row>
    <row r="1181" spans="1:11" ht="42" customHeight="1">
      <c r="A1181" s="2" t="s">
        <v>2998</v>
      </c>
      <c r="B1181" s="2" t="s">
        <v>2998</v>
      </c>
      <c r="C1181" s="2" t="s">
        <v>26</v>
      </c>
      <c r="D1181" s="2" t="s">
        <v>27</v>
      </c>
      <c r="E1181" s="5">
        <v>-29806</v>
      </c>
      <c r="F1181" s="3" t="s">
        <v>84</v>
      </c>
      <c r="G1181" s="3" t="s">
        <v>29</v>
      </c>
      <c r="H1181" s="2" t="s">
        <v>36</v>
      </c>
      <c r="I1181" s="2" t="s">
        <v>3000</v>
      </c>
      <c r="J1181" s="3" t="str">
        <f>HYPERLINK("https://www.boe.es/gazeta/dias/1818/05/23/pdfs/GMD-1818-62.pdf#page=4","Abrir facsímil")</f>
        <v>Abrir facsímil</v>
      </c>
      <c r="K1181" s="3" t="s">
        <v>38</v>
      </c>
    </row>
    <row r="1182" spans="1:11" ht="42" customHeight="1">
      <c r="A1182" s="2" t="s">
        <v>2998</v>
      </c>
      <c r="B1182" s="2" t="s">
        <v>2998</v>
      </c>
      <c r="C1182" s="2" t="s">
        <v>17</v>
      </c>
      <c r="D1182" s="2" t="s">
        <v>18</v>
      </c>
      <c r="E1182" s="5">
        <v>-29771</v>
      </c>
      <c r="F1182" s="3" t="s">
        <v>1260</v>
      </c>
      <c r="G1182" s="3" t="s">
        <v>45</v>
      </c>
      <c r="H1182" s="2" t="s">
        <v>36</v>
      </c>
      <c r="I1182" s="2" t="s">
        <v>3001</v>
      </c>
      <c r="J1182" s="3" t="str">
        <f>HYPERLINK("https://www.boe.es/gazeta/dias/1818/06/27/pdfs/GMD-1818-77.pdf#page=8","Abrir facsímil")</f>
        <v>Abrir facsímil</v>
      </c>
      <c r="K1182" s="3" t="s">
        <v>38</v>
      </c>
    </row>
    <row r="1183" spans="1:11" ht="42" customHeight="1">
      <c r="A1183" s="2" t="s">
        <v>3002</v>
      </c>
      <c r="B1183" s="2" t="s">
        <v>3003</v>
      </c>
      <c r="C1183" s="2" t="s">
        <v>26</v>
      </c>
      <c r="D1183" s="2" t="s">
        <v>27</v>
      </c>
      <c r="E1183" s="5">
        <v>-29703</v>
      </c>
      <c r="F1183" s="3" t="s">
        <v>294</v>
      </c>
      <c r="G1183" s="3" t="s">
        <v>29</v>
      </c>
      <c r="H1183" s="2" t="s">
        <v>36</v>
      </c>
      <c r="I1183" s="2" t="s">
        <v>3004</v>
      </c>
      <c r="J1183" s="3" t="str">
        <f>HYPERLINK("https://www.boe.es/gazeta/dias/1818/09/03/pdfs/GMD-1818-106.pdf#page=4","Abrir facsímil")</f>
        <v>Abrir facsímil</v>
      </c>
      <c r="K1183" s="3" t="s">
        <v>38</v>
      </c>
    </row>
    <row r="1184" spans="1:11" ht="42" customHeight="1">
      <c r="A1184" s="2" t="s">
        <v>3005</v>
      </c>
      <c r="B1184" s="2" t="s">
        <v>3006</v>
      </c>
      <c r="C1184" s="2" t="s">
        <v>33</v>
      </c>
      <c r="D1184" s="2" t="s">
        <v>18</v>
      </c>
      <c r="E1184" s="5">
        <v>-29929</v>
      </c>
      <c r="F1184" s="3" t="s">
        <v>204</v>
      </c>
      <c r="G1184" s="3" t="s">
        <v>59</v>
      </c>
      <c r="H1184" s="2" t="s">
        <v>36</v>
      </c>
      <c r="I1184" s="2" t="s">
        <v>3007</v>
      </c>
      <c r="J1184" s="3" t="str">
        <f>HYPERLINK("https://www.boe.es/gazeta/dias/1818/01/20/pdfs/GMD-1818-9.pdf#page=6","Abrir facsímil")</f>
        <v>Abrir facsímil</v>
      </c>
      <c r="K1184" s="3" t="s">
        <v>38</v>
      </c>
    </row>
    <row r="1185" spans="1:11" ht="42" customHeight="1">
      <c r="A1185" s="2" t="s">
        <v>3008</v>
      </c>
      <c r="B1185" s="2" t="s">
        <v>3009</v>
      </c>
      <c r="C1185" s="2" t="s">
        <v>26</v>
      </c>
      <c r="D1185" s="2" t="s">
        <v>27</v>
      </c>
      <c r="E1185" s="5">
        <v>-29948</v>
      </c>
      <c r="F1185" s="3" t="s">
        <v>199</v>
      </c>
      <c r="G1185" s="3" t="s">
        <v>544</v>
      </c>
      <c r="H1185" s="2" t="s">
        <v>21</v>
      </c>
      <c r="I1185" s="2" t="s">
        <v>3010</v>
      </c>
      <c r="J1185" s="3" t="str">
        <f>HYPERLINK("https://www.boe.es/gazeta/dias/1818/01/01/pdfs/GMD-1818-1.pdf#page=6","Abrir facsímil")</f>
        <v>Abrir facsímil</v>
      </c>
      <c r="K1185" s="3" t="s">
        <v>23</v>
      </c>
    </row>
    <row r="1186" spans="1:11" ht="42" customHeight="1">
      <c r="A1186" s="2" t="s">
        <v>3011</v>
      </c>
      <c r="B1186" s="2" t="s">
        <v>3012</v>
      </c>
      <c r="C1186" s="2" t="s">
        <v>26</v>
      </c>
      <c r="D1186" s="2" t="s">
        <v>27</v>
      </c>
      <c r="E1186" s="5">
        <v>-29799</v>
      </c>
      <c r="F1186" s="3" t="s">
        <v>135</v>
      </c>
      <c r="G1186" s="3" t="s">
        <v>20</v>
      </c>
      <c r="H1186" s="2" t="s">
        <v>36</v>
      </c>
      <c r="I1186" s="2" t="s">
        <v>3013</v>
      </c>
      <c r="J1186" s="3" t="str">
        <f>HYPERLINK("https://www.boe.es/gazeta/dias/1818/05/30/pdfs/GMD-1818-65.pdf#page=7","Abrir facsímil")</f>
        <v>Abrir facsímil</v>
      </c>
      <c r="K1186" s="3" t="s">
        <v>38</v>
      </c>
    </row>
    <row r="1187" spans="1:11" ht="42" customHeight="1">
      <c r="A1187" s="2" t="s">
        <v>3014</v>
      </c>
      <c r="B1187" s="2" t="s">
        <v>3015</v>
      </c>
      <c r="C1187" s="2" t="s">
        <v>68</v>
      </c>
      <c r="D1187" s="2" t="s">
        <v>69</v>
      </c>
      <c r="E1187" s="5">
        <v>-29771</v>
      </c>
      <c r="F1187" s="3" t="s">
        <v>1260</v>
      </c>
      <c r="G1187" s="3" t="s">
        <v>45</v>
      </c>
      <c r="H1187" s="2" t="s">
        <v>36</v>
      </c>
      <c r="I1187" s="2" t="s">
        <v>3016</v>
      </c>
      <c r="J1187" s="3" t="str">
        <f>HYPERLINK("https://www.boe.es/gazeta/dias/1818/06/27/pdfs/GMD-1818-77.pdf#page=8","Abrir facsímil")</f>
        <v>Abrir facsímil</v>
      </c>
      <c r="K1187" s="3" t="s">
        <v>38</v>
      </c>
    </row>
    <row r="1188" spans="1:11" ht="42" customHeight="1">
      <c r="A1188" s="2" t="s">
        <v>3017</v>
      </c>
      <c r="B1188" s="2" t="s">
        <v>3018</v>
      </c>
      <c r="C1188" s="2" t="s">
        <v>57</v>
      </c>
      <c r="D1188" s="2" t="s">
        <v>18</v>
      </c>
      <c r="E1188" s="5">
        <v>-29747</v>
      </c>
      <c r="F1188" s="3" t="s">
        <v>536</v>
      </c>
      <c r="G1188" s="3" t="s">
        <v>45</v>
      </c>
      <c r="H1188" s="2" t="s">
        <v>36</v>
      </c>
      <c r="I1188" s="2" t="s">
        <v>3019</v>
      </c>
      <c r="J1188" s="3" t="str">
        <f>HYPERLINK("https://www.boe.es/gazeta/dias/1818/07/21/pdfs/GMD-1818-87.pdf#page=8","Abrir facsímil")</f>
        <v>Abrir facsímil</v>
      </c>
      <c r="K1188" s="3" t="s">
        <v>38</v>
      </c>
    </row>
    <row r="1189" spans="1:11" ht="42" customHeight="1">
      <c r="A1189" s="2" t="s">
        <v>3020</v>
      </c>
      <c r="B1189" s="2" t="s">
        <v>3021</v>
      </c>
      <c r="C1189" s="2" t="s">
        <v>57</v>
      </c>
      <c r="D1189" s="2" t="s">
        <v>18</v>
      </c>
      <c r="E1189" s="5">
        <v>-29628</v>
      </c>
      <c r="F1189" s="3" t="s">
        <v>58</v>
      </c>
      <c r="G1189" s="3" t="s">
        <v>59</v>
      </c>
      <c r="H1189" s="2" t="s">
        <v>36</v>
      </c>
      <c r="I1189" s="2" t="s">
        <v>3022</v>
      </c>
      <c r="J1189" s="3" t="str">
        <f>HYPERLINK("https://www.boe.es/gazeta/dias/1818/11/17/pdfs/GMD-1818-139.pdf#page=6","Abrir facsímil")</f>
        <v>Abrir facsímil</v>
      </c>
      <c r="K1189" s="3" t="s">
        <v>38</v>
      </c>
    </row>
    <row r="1190" spans="1:11" ht="42" customHeight="1">
      <c r="A1190" s="2" t="s">
        <v>3023</v>
      </c>
      <c r="B1190" s="2" t="s">
        <v>3024</v>
      </c>
      <c r="C1190" s="2" t="s">
        <v>57</v>
      </c>
      <c r="D1190" s="2" t="s">
        <v>18</v>
      </c>
      <c r="E1190" s="5">
        <v>-29701</v>
      </c>
      <c r="F1190" s="3" t="s">
        <v>596</v>
      </c>
      <c r="G1190" s="3" t="s">
        <v>20</v>
      </c>
      <c r="H1190" s="2" t="s">
        <v>36</v>
      </c>
      <c r="I1190" s="2" t="s">
        <v>3025</v>
      </c>
      <c r="J1190" s="3" t="str">
        <f>HYPERLINK("https://www.boe.es/gazeta/dias/1818/09/05/pdfs/GMD-1818-107.pdf#page=7","Abrir facsímil")</f>
        <v>Abrir facsímil</v>
      </c>
      <c r="K1190" s="3" t="s">
        <v>38</v>
      </c>
    </row>
    <row r="1191" spans="1:11" ht="42" customHeight="1">
      <c r="A1191" s="2" t="s">
        <v>3023</v>
      </c>
      <c r="B1191" s="2" t="s">
        <v>3024</v>
      </c>
      <c r="C1191" s="2" t="s">
        <v>97</v>
      </c>
      <c r="D1191" s="2" t="s">
        <v>18</v>
      </c>
      <c r="E1191" s="5">
        <v>-29687</v>
      </c>
      <c r="F1191" s="3" t="s">
        <v>686</v>
      </c>
      <c r="G1191" s="3" t="s">
        <v>45</v>
      </c>
      <c r="H1191" s="2" t="s">
        <v>36</v>
      </c>
      <c r="I1191" s="2" t="s">
        <v>3026</v>
      </c>
      <c r="J1191" s="3" t="str">
        <f>HYPERLINK("https://www.boe.es/gazeta/dias/1818/09/19/pdfs/GMD-1818-113.pdf#page=8","Abrir facsímil")</f>
        <v>Abrir facsímil</v>
      </c>
      <c r="K1191" s="3" t="s">
        <v>38</v>
      </c>
    </row>
    <row r="1192" spans="1:11" ht="42" customHeight="1">
      <c r="A1192" s="2" t="s">
        <v>3023</v>
      </c>
      <c r="B1192" s="2" t="s">
        <v>3024</v>
      </c>
      <c r="C1192" s="2" t="s">
        <v>57</v>
      </c>
      <c r="D1192" s="2" t="s">
        <v>18</v>
      </c>
      <c r="E1192" s="5">
        <v>-29635</v>
      </c>
      <c r="F1192" s="3" t="s">
        <v>560</v>
      </c>
      <c r="G1192" s="3" t="s">
        <v>45</v>
      </c>
      <c r="H1192" s="2" t="s">
        <v>36</v>
      </c>
      <c r="I1192" s="2" t="s">
        <v>3027</v>
      </c>
      <c r="J1192" s="3" t="str">
        <f>HYPERLINK("https://www.boe.es/gazeta/dias/1818/11/10/pdfs/GMD-1818-136.pdf#page=8","Abrir facsímil")</f>
        <v>Abrir facsímil</v>
      </c>
      <c r="K1192" s="3" t="s">
        <v>38</v>
      </c>
    </row>
    <row r="1193" spans="1:11" ht="42" customHeight="1">
      <c r="A1193" s="2" t="s">
        <v>3028</v>
      </c>
      <c r="B1193" s="2" t="s">
        <v>3029</v>
      </c>
      <c r="C1193" s="2" t="s">
        <v>26</v>
      </c>
      <c r="D1193" s="2" t="s">
        <v>27</v>
      </c>
      <c r="E1193" s="5">
        <v>-29901</v>
      </c>
      <c r="F1193" s="3" t="s">
        <v>417</v>
      </c>
      <c r="G1193" s="3" t="s">
        <v>45</v>
      </c>
      <c r="H1193" s="2" t="s">
        <v>21</v>
      </c>
      <c r="I1193" s="2" t="s">
        <v>3030</v>
      </c>
      <c r="J1193" s="3" t="str">
        <f>HYPERLINK("https://www.boe.es/gazeta/dias/1818/02/17/pdfs/GMD-1818-21.pdf#page=8","Abrir facsímil")</f>
        <v>Abrir facsímil</v>
      </c>
      <c r="K1193" s="3" t="s">
        <v>23</v>
      </c>
    </row>
    <row r="1194" spans="1:11" ht="42" customHeight="1">
      <c r="A1194" s="2" t="s">
        <v>3031</v>
      </c>
      <c r="B1194" s="2" t="s">
        <v>3032</v>
      </c>
      <c r="C1194" s="2" t="s">
        <v>17</v>
      </c>
      <c r="D1194" s="2" t="s">
        <v>18</v>
      </c>
      <c r="E1194" s="5">
        <v>-29663</v>
      </c>
      <c r="F1194" s="3" t="s">
        <v>1011</v>
      </c>
      <c r="G1194" s="3" t="s">
        <v>106</v>
      </c>
      <c r="H1194" s="2" t="s">
        <v>36</v>
      </c>
      <c r="I1194" s="2" t="s">
        <v>3033</v>
      </c>
      <c r="J1194" s="3" t="str">
        <f>HYPERLINK("https://www.boe.es/gazeta/dias/1818/10/13/pdfs/GMD-1818-123.pdf#page=5","Abrir facsímil")</f>
        <v>Abrir facsímil</v>
      </c>
      <c r="K1194" s="3" t="s">
        <v>38</v>
      </c>
    </row>
    <row r="1195" spans="1:11" ht="42" customHeight="1">
      <c r="A1195" s="2" t="s">
        <v>3034</v>
      </c>
      <c r="B1195" s="2" t="s">
        <v>3035</v>
      </c>
      <c r="C1195" s="2" t="s">
        <v>26</v>
      </c>
      <c r="D1195" s="2" t="s">
        <v>27</v>
      </c>
      <c r="E1195" s="5">
        <v>-29673</v>
      </c>
      <c r="F1195" s="3" t="s">
        <v>1099</v>
      </c>
      <c r="G1195" s="3" t="s">
        <v>106</v>
      </c>
      <c r="H1195" s="2" t="s">
        <v>36</v>
      </c>
      <c r="I1195" s="2" t="s">
        <v>3036</v>
      </c>
      <c r="J1195" s="3" t="str">
        <f>HYPERLINK("https://www.boe.es/gazeta/dias/1818/10/03/pdfs/GMD-1818-119.pdf#page=5","Abrir facsímil")</f>
        <v>Abrir facsímil</v>
      </c>
      <c r="K1195" s="3" t="s">
        <v>38</v>
      </c>
    </row>
    <row r="1196" spans="1:11" ht="42" customHeight="1">
      <c r="A1196" s="2" t="s">
        <v>3037</v>
      </c>
      <c r="B1196" s="2" t="s">
        <v>3038</v>
      </c>
      <c r="C1196" s="2" t="s">
        <v>17</v>
      </c>
      <c r="D1196" s="2" t="s">
        <v>18</v>
      </c>
      <c r="E1196" s="5">
        <v>-29932</v>
      </c>
      <c r="F1196" s="3" t="s">
        <v>34</v>
      </c>
      <c r="G1196" s="3" t="s">
        <v>35</v>
      </c>
      <c r="H1196" s="2" t="s">
        <v>36</v>
      </c>
      <c r="I1196" s="2" t="s">
        <v>3039</v>
      </c>
      <c r="J1196" s="3" t="str">
        <f>HYPERLINK("https://www.boe.es/gazeta/dias/1818/01/17/pdfs/GMD-1818-8.pdf#page=8","Abrir facsímil")</f>
        <v>Abrir facsímil</v>
      </c>
      <c r="K1196" s="3" t="s">
        <v>38</v>
      </c>
    </row>
    <row r="1197" spans="1:11" ht="42" customHeight="1">
      <c r="A1197" s="2" t="s">
        <v>3037</v>
      </c>
      <c r="B1197" s="2" t="s">
        <v>3038</v>
      </c>
      <c r="C1197" s="2" t="s">
        <v>57</v>
      </c>
      <c r="D1197" s="2" t="s">
        <v>18</v>
      </c>
      <c r="E1197" s="5">
        <v>-29892</v>
      </c>
      <c r="F1197" s="3" t="s">
        <v>39</v>
      </c>
      <c r="G1197" s="3" t="s">
        <v>40</v>
      </c>
      <c r="H1197" s="2" t="s">
        <v>36</v>
      </c>
      <c r="I1197" s="2" t="s">
        <v>3040</v>
      </c>
      <c r="J1197" s="3" t="str">
        <f>HYPERLINK("https://www.boe.es/gazeta/dias/1818/02/26/pdfs/GMD-1818-25.pdf#page=8","Abrir facsímil")</f>
        <v>Abrir facsímil</v>
      </c>
      <c r="K1197" s="3" t="s">
        <v>38</v>
      </c>
    </row>
    <row r="1198" spans="1:11" ht="42" customHeight="1">
      <c r="A1198" s="2" t="s">
        <v>3041</v>
      </c>
      <c r="B1198" s="2" t="s">
        <v>3041</v>
      </c>
      <c r="C1198" s="2" t="s">
        <v>26</v>
      </c>
      <c r="D1198" s="2" t="s">
        <v>27</v>
      </c>
      <c r="E1198" s="5">
        <v>-29883</v>
      </c>
      <c r="F1198" s="3" t="s">
        <v>823</v>
      </c>
      <c r="G1198" s="3" t="s">
        <v>824</v>
      </c>
      <c r="H1198" s="2" t="s">
        <v>36</v>
      </c>
      <c r="I1198" s="2" t="s">
        <v>3042</v>
      </c>
      <c r="J1198" s="3" t="str">
        <f>HYPERLINK("https://www.boe.es/gazeta/dias/1818/03/07/pdfs/GMD-1818-29.pdf#page=4","Abrir facsímil")</f>
        <v>Abrir facsímil</v>
      </c>
      <c r="K1198" s="3" t="s">
        <v>38</v>
      </c>
    </row>
    <row r="1199" spans="1:11" ht="42" customHeight="1">
      <c r="A1199" s="2" t="s">
        <v>3043</v>
      </c>
      <c r="B1199" s="2" t="s">
        <v>3044</v>
      </c>
      <c r="C1199" s="2" t="s">
        <v>26</v>
      </c>
      <c r="D1199" s="2" t="s">
        <v>27</v>
      </c>
      <c r="E1199" s="5">
        <v>-29883</v>
      </c>
      <c r="F1199" s="3" t="s">
        <v>823</v>
      </c>
      <c r="G1199" s="3" t="s">
        <v>824</v>
      </c>
      <c r="H1199" s="2" t="s">
        <v>36</v>
      </c>
      <c r="I1199" s="2" t="s">
        <v>3045</v>
      </c>
      <c r="J1199" s="3" t="str">
        <f>HYPERLINK("https://www.boe.es/gazeta/dias/1818/03/07/pdfs/GMD-1818-29.pdf#page=4","Abrir facsímil")</f>
        <v>Abrir facsímil</v>
      </c>
      <c r="K1199" s="3" t="s">
        <v>38</v>
      </c>
    </row>
    <row r="1200" spans="1:11" ht="42" customHeight="1">
      <c r="A1200" s="2" t="s">
        <v>3046</v>
      </c>
      <c r="B1200" s="2" t="s">
        <v>3047</v>
      </c>
      <c r="C1200" s="2" t="s">
        <v>26</v>
      </c>
      <c r="D1200" s="2" t="s">
        <v>27</v>
      </c>
      <c r="E1200" s="5">
        <v>-29857</v>
      </c>
      <c r="F1200" s="3" t="s">
        <v>831</v>
      </c>
      <c r="G1200" s="3" t="s">
        <v>59</v>
      </c>
      <c r="H1200" s="2" t="s">
        <v>36</v>
      </c>
      <c r="I1200" s="2" t="s">
        <v>3048</v>
      </c>
      <c r="J1200" s="3" t="str">
        <f>HYPERLINK("https://www.boe.es/gazeta/dias/1818/04/02/pdfs/GMD-1818-40.pdf#page=6","Abrir facsímil")</f>
        <v>Abrir facsímil</v>
      </c>
      <c r="K1200" s="3" t="s">
        <v>38</v>
      </c>
    </row>
    <row r="1201" spans="1:11" ht="42" customHeight="1">
      <c r="A1201" s="2" t="s">
        <v>3049</v>
      </c>
      <c r="B1201" s="2" t="s">
        <v>3050</v>
      </c>
      <c r="C1201" s="2" t="s">
        <v>26</v>
      </c>
      <c r="D1201" s="2" t="s">
        <v>27</v>
      </c>
      <c r="E1201" s="5">
        <v>-29619</v>
      </c>
      <c r="F1201" s="3" t="s">
        <v>64</v>
      </c>
      <c r="G1201" s="3" t="s">
        <v>721</v>
      </c>
      <c r="H1201" s="2" t="s">
        <v>36</v>
      </c>
      <c r="I1201" s="2" t="s">
        <v>3051</v>
      </c>
      <c r="J1201" s="3" t="str">
        <f>HYPERLINK("https://www.boe.es/gazeta/dias/1818/11/26/pdfs/GMD-1818-143.pdf#page=5","Abrir facsímil")</f>
        <v>Abrir facsímil</v>
      </c>
      <c r="K1201" s="3" t="s">
        <v>38</v>
      </c>
    </row>
    <row r="1202" spans="1:11" ht="42" customHeight="1">
      <c r="A1202" s="2" t="s">
        <v>3052</v>
      </c>
      <c r="B1202" s="2" t="s">
        <v>3053</v>
      </c>
      <c r="C1202" s="2" t="s">
        <v>26</v>
      </c>
      <c r="D1202" s="2" t="s">
        <v>27</v>
      </c>
      <c r="E1202" s="5">
        <v>-29913</v>
      </c>
      <c r="F1202" s="3" t="s">
        <v>449</v>
      </c>
      <c r="G1202" s="3" t="s">
        <v>45</v>
      </c>
      <c r="H1202" s="2" t="s">
        <v>36</v>
      </c>
      <c r="I1202" s="2" t="s">
        <v>3054</v>
      </c>
      <c r="J1202" s="3" t="str">
        <f>HYPERLINK("https://www.boe.es/gazeta/dias/1818/02/05/pdfs/GMD-1818-16.pdf#page=8","Abrir facsímil")</f>
        <v>Abrir facsímil</v>
      </c>
      <c r="K1202" s="3" t="s">
        <v>38</v>
      </c>
    </row>
    <row r="1203" spans="1:11" ht="42" customHeight="1">
      <c r="A1203" s="2" t="s">
        <v>3055</v>
      </c>
      <c r="B1203" s="2" t="s">
        <v>3056</v>
      </c>
      <c r="C1203" s="2" t="s">
        <v>26</v>
      </c>
      <c r="D1203" s="2" t="s">
        <v>27</v>
      </c>
      <c r="E1203" s="5">
        <v>-29593</v>
      </c>
      <c r="F1203" s="3" t="s">
        <v>185</v>
      </c>
      <c r="G1203" s="3" t="s">
        <v>59</v>
      </c>
      <c r="H1203" s="2" t="s">
        <v>36</v>
      </c>
      <c r="I1203" s="2" t="s">
        <v>3057</v>
      </c>
      <c r="J1203" s="3" t="str">
        <f>HYPERLINK("https://www.boe.es/gazeta/dias/1818/12/22/pdfs/GMD-1818-154.pdf#page=6","Abrir facsímil")</f>
        <v>Abrir facsímil</v>
      </c>
      <c r="K1203" s="3" t="s">
        <v>38</v>
      </c>
    </row>
    <row r="1204" spans="1:11" ht="42" customHeight="1">
      <c r="A1204" s="2" t="s">
        <v>3058</v>
      </c>
      <c r="B1204" s="2" t="s">
        <v>3059</v>
      </c>
      <c r="C1204" s="2" t="s">
        <v>26</v>
      </c>
      <c r="D1204" s="2" t="s">
        <v>27</v>
      </c>
      <c r="E1204" s="5">
        <v>-29834</v>
      </c>
      <c r="F1204" s="3" t="s">
        <v>457</v>
      </c>
      <c r="G1204" s="3" t="s">
        <v>49</v>
      </c>
      <c r="H1204" s="2" t="s">
        <v>36</v>
      </c>
      <c r="I1204" s="2" t="s">
        <v>3060</v>
      </c>
      <c r="J1204" s="3" t="str">
        <f>HYPERLINK("https://www.boe.es/gazeta/dias/1818/04/25/pdfs/GMD-1818-50.pdf#page=1","Abrir facsímil")</f>
        <v>Abrir facsímil</v>
      </c>
      <c r="K1204" s="3" t="s">
        <v>38</v>
      </c>
    </row>
    <row r="1205" spans="1:11" ht="42" customHeight="1">
      <c r="A1205" s="2" t="s">
        <v>3061</v>
      </c>
      <c r="B1205" s="2" t="s">
        <v>3061</v>
      </c>
      <c r="C1205" s="2" t="s">
        <v>26</v>
      </c>
      <c r="D1205" s="2" t="s">
        <v>27</v>
      </c>
      <c r="E1205" s="5">
        <v>-29656</v>
      </c>
      <c r="F1205" s="3" t="s">
        <v>601</v>
      </c>
      <c r="G1205" s="3" t="s">
        <v>85</v>
      </c>
      <c r="H1205" s="2" t="s">
        <v>36</v>
      </c>
      <c r="I1205" s="2" t="s">
        <v>3062</v>
      </c>
      <c r="J1205" s="3" t="str">
        <f>HYPERLINK("https://www.boe.es/gazeta/dias/1818/10/20/pdfs/GMD-1818-127.pdf#page=3","Abrir facsímil")</f>
        <v>Abrir facsímil</v>
      </c>
      <c r="K1205" s="3" t="s">
        <v>38</v>
      </c>
    </row>
    <row r="1206" spans="1:11" ht="42" customHeight="1">
      <c r="A1206" s="2" t="s">
        <v>3063</v>
      </c>
      <c r="B1206" s="2" t="s">
        <v>3064</v>
      </c>
      <c r="C1206" s="2" t="s">
        <v>26</v>
      </c>
      <c r="D1206" s="2" t="s">
        <v>27</v>
      </c>
      <c r="E1206" s="5">
        <v>-29936</v>
      </c>
      <c r="F1206" s="3" t="s">
        <v>398</v>
      </c>
      <c r="G1206" s="3" t="s">
        <v>59</v>
      </c>
      <c r="H1206" s="2" t="s">
        <v>21</v>
      </c>
      <c r="I1206" s="2" t="s">
        <v>3065</v>
      </c>
      <c r="J1206" s="3" t="str">
        <f>HYPERLINK("https://www.boe.es/gazeta/dias/1818/01/13/pdfs/GMD-1818-6.pdf#page=6","Abrir facsímil")</f>
        <v>Abrir facsímil</v>
      </c>
      <c r="K1206" s="3" t="s">
        <v>23</v>
      </c>
    </row>
    <row r="1207" spans="1:11" ht="42" customHeight="1">
      <c r="A1207" s="2" t="s">
        <v>3066</v>
      </c>
      <c r="B1207" s="2" t="s">
        <v>3067</v>
      </c>
      <c r="C1207" s="2" t="s">
        <v>26</v>
      </c>
      <c r="D1207" s="2" t="s">
        <v>27</v>
      </c>
      <c r="E1207" s="5">
        <v>-29806</v>
      </c>
      <c r="F1207" s="3" t="s">
        <v>84</v>
      </c>
      <c r="G1207" s="3" t="s">
        <v>49</v>
      </c>
      <c r="H1207" s="2" t="s">
        <v>21</v>
      </c>
      <c r="I1207" s="2" t="s">
        <v>3068</v>
      </c>
      <c r="J1207" s="3" t="str">
        <f>HYPERLINK("https://www.boe.es/gazeta/dias/1818/05/23/pdfs/GMD-1818-62.pdf#page=1","Abrir facsímil")</f>
        <v>Abrir facsímil</v>
      </c>
      <c r="K1207" s="3" t="s">
        <v>23</v>
      </c>
    </row>
    <row r="1208" spans="1:11" ht="42" customHeight="1">
      <c r="A1208" s="2" t="s">
        <v>3069</v>
      </c>
      <c r="B1208" s="2" t="s">
        <v>3070</v>
      </c>
      <c r="C1208" s="2" t="s">
        <v>33</v>
      </c>
      <c r="D1208" s="2" t="s">
        <v>18</v>
      </c>
      <c r="E1208" s="5">
        <v>-29757</v>
      </c>
      <c r="F1208" s="3" t="s">
        <v>115</v>
      </c>
      <c r="G1208" s="3" t="s">
        <v>59</v>
      </c>
      <c r="H1208" s="2" t="s">
        <v>36</v>
      </c>
      <c r="I1208" s="2" t="s">
        <v>3071</v>
      </c>
      <c r="J1208" s="3" t="str">
        <f>HYPERLINK("https://www.boe.es/gazeta/dias/1818/07/11/pdfs/GMD-1818-83.pdf#page=6","Abrir facsímil")</f>
        <v>Abrir facsímil</v>
      </c>
      <c r="K1208" s="3" t="s">
        <v>38</v>
      </c>
    </row>
    <row r="1209" spans="1:11" ht="42" customHeight="1">
      <c r="A1209" s="2" t="s">
        <v>3072</v>
      </c>
      <c r="B1209" s="2" t="s">
        <v>3073</v>
      </c>
      <c r="C1209" s="2" t="s">
        <v>26</v>
      </c>
      <c r="D1209" s="2" t="s">
        <v>27</v>
      </c>
      <c r="E1209" s="5">
        <v>-29934</v>
      </c>
      <c r="F1209" s="3" t="s">
        <v>53</v>
      </c>
      <c r="G1209" s="3" t="s">
        <v>59</v>
      </c>
      <c r="H1209" s="2" t="s">
        <v>36</v>
      </c>
      <c r="I1209" s="2" t="s">
        <v>3074</v>
      </c>
      <c r="J1209" s="3" t="str">
        <f>HYPERLINK("https://www.boe.es/gazeta/dias/1818/01/15/pdfs/GMD-1818-7.pdf#page=6","Abrir facsímil")</f>
        <v>Abrir facsímil</v>
      </c>
      <c r="K1209" s="3" t="s">
        <v>38</v>
      </c>
    </row>
    <row r="1210" spans="1:11" ht="42" customHeight="1">
      <c r="A1210" s="2" t="s">
        <v>3075</v>
      </c>
      <c r="B1210" s="2" t="s">
        <v>3076</v>
      </c>
      <c r="C1210" s="2" t="s">
        <v>68</v>
      </c>
      <c r="D1210" s="2" t="s">
        <v>69</v>
      </c>
      <c r="E1210" s="5">
        <v>-29799</v>
      </c>
      <c r="F1210" s="3" t="s">
        <v>135</v>
      </c>
      <c r="G1210" s="3" t="s">
        <v>20</v>
      </c>
      <c r="H1210" s="2" t="s">
        <v>36</v>
      </c>
      <c r="I1210" s="2" t="s">
        <v>3077</v>
      </c>
      <c r="J1210" s="3" t="str">
        <f>HYPERLINK("https://www.boe.es/gazeta/dias/1818/05/30/pdfs/GMD-1818-65.pdf#page=7","Abrir facsímil")</f>
        <v>Abrir facsímil</v>
      </c>
      <c r="K1210" s="3" t="s">
        <v>38</v>
      </c>
    </row>
    <row r="1211" spans="1:11" ht="42" customHeight="1">
      <c r="A1211" s="2" t="s">
        <v>3078</v>
      </c>
      <c r="B1211" s="2" t="s">
        <v>3079</v>
      </c>
      <c r="C1211" s="2" t="s">
        <v>26</v>
      </c>
      <c r="D1211" s="2" t="s">
        <v>27</v>
      </c>
      <c r="E1211" s="5">
        <v>-29724</v>
      </c>
      <c r="F1211" s="3" t="s">
        <v>370</v>
      </c>
      <c r="G1211" s="3" t="s">
        <v>106</v>
      </c>
      <c r="H1211" s="2" t="s">
        <v>21</v>
      </c>
      <c r="I1211" s="2" t="s">
        <v>3080</v>
      </c>
      <c r="J1211" s="3" t="str">
        <f>HYPERLINK("https://www.boe.es/gazeta/dias/1818/08/13/pdfs/GMD-1818-97.pdf#page=5","Abrir facsímil")</f>
        <v>Abrir facsímil</v>
      </c>
      <c r="K1211" s="3" t="s">
        <v>23</v>
      </c>
    </row>
    <row r="1212" spans="1:11" ht="42" customHeight="1">
      <c r="A1212" s="2" t="s">
        <v>3081</v>
      </c>
      <c r="B1212" s="2" t="s">
        <v>3082</v>
      </c>
      <c r="C1212" s="2" t="s">
        <v>26</v>
      </c>
      <c r="D1212" s="2" t="s">
        <v>27</v>
      </c>
      <c r="E1212" s="5">
        <v>-29920</v>
      </c>
      <c r="F1212" s="3" t="s">
        <v>201</v>
      </c>
      <c r="G1212" s="3" t="s">
        <v>106</v>
      </c>
      <c r="H1212" s="2" t="s">
        <v>36</v>
      </c>
      <c r="I1212" s="2" t="s">
        <v>3083</v>
      </c>
      <c r="J1212" s="3" t="str">
        <f>HYPERLINK("https://www.boe.es/gazeta/dias/1818/01/29/pdfs/GMD-1818-13.pdf#page=5","Abrir facsímil")</f>
        <v>Abrir facsímil</v>
      </c>
      <c r="K1212" s="3" t="s">
        <v>38</v>
      </c>
    </row>
    <row r="1213" spans="1:11" ht="42" customHeight="1">
      <c r="A1213" s="2" t="s">
        <v>3084</v>
      </c>
      <c r="B1213" s="2" t="s">
        <v>3084</v>
      </c>
      <c r="C1213" s="2" t="s">
        <v>26</v>
      </c>
      <c r="D1213" s="2" t="s">
        <v>27</v>
      </c>
      <c r="E1213" s="5">
        <v>-29939</v>
      </c>
      <c r="F1213" s="3" t="s">
        <v>110</v>
      </c>
      <c r="G1213" s="3" t="s">
        <v>120</v>
      </c>
      <c r="H1213" s="2" t="s">
        <v>36</v>
      </c>
      <c r="I1213" s="2" t="s">
        <v>3085</v>
      </c>
      <c r="J1213" s="3" t="str">
        <f>HYPERLINK("https://www.boe.es/gazeta/dias/1818/01/10/pdfs/GMD-1818-5.pdf#page=2","Abrir facsímil")</f>
        <v>Abrir facsímil</v>
      </c>
      <c r="K1213" s="3" t="s">
        <v>38</v>
      </c>
    </row>
    <row r="1214" spans="1:11" ht="42" customHeight="1">
      <c r="A1214" s="2" t="s">
        <v>3086</v>
      </c>
      <c r="B1214" s="2" t="s">
        <v>3086</v>
      </c>
      <c r="C1214" s="2" t="s">
        <v>57</v>
      </c>
      <c r="D1214" s="2" t="s">
        <v>18</v>
      </c>
      <c r="E1214" s="5">
        <v>-29624</v>
      </c>
      <c r="F1214" s="3" t="s">
        <v>131</v>
      </c>
      <c r="G1214" s="3" t="s">
        <v>45</v>
      </c>
      <c r="H1214" s="2" t="s">
        <v>36</v>
      </c>
      <c r="I1214" s="2" t="s">
        <v>3087</v>
      </c>
      <c r="J1214" s="3" t="str">
        <f>HYPERLINK("https://www.boe.es/gazeta/dias/1818/11/21/pdfs/GMD-1818-141.pdf#page=8","Abrir facsímil")</f>
        <v>Abrir facsímil</v>
      </c>
      <c r="K1214" s="3" t="s">
        <v>38</v>
      </c>
    </row>
    <row r="1215" spans="1:11" ht="42" customHeight="1">
      <c r="A1215" s="2" t="s">
        <v>3088</v>
      </c>
      <c r="B1215" s="2" t="s">
        <v>3089</v>
      </c>
      <c r="C1215" s="2" t="s">
        <v>17</v>
      </c>
      <c r="D1215" s="2" t="s">
        <v>18</v>
      </c>
      <c r="E1215" s="5">
        <v>-29934</v>
      </c>
      <c r="F1215" s="3" t="s">
        <v>53</v>
      </c>
      <c r="G1215" s="3" t="s">
        <v>20</v>
      </c>
      <c r="H1215" s="2" t="s">
        <v>21</v>
      </c>
      <c r="I1215" s="2" t="s">
        <v>3090</v>
      </c>
      <c r="J1215" s="3" t="str">
        <f>HYPERLINK("https://www.boe.es/gazeta/dias/1818/01/15/pdfs/GMD-1818-7.pdf#page=7","Abrir facsímil")</f>
        <v>Abrir facsímil</v>
      </c>
      <c r="K1215" s="3" t="s">
        <v>23</v>
      </c>
    </row>
    <row r="1216" spans="1:11" ht="42" customHeight="1">
      <c r="A1216" s="2" t="s">
        <v>3091</v>
      </c>
      <c r="B1216" s="2" t="s">
        <v>3092</v>
      </c>
      <c r="C1216" s="2" t="s">
        <v>26</v>
      </c>
      <c r="D1216" s="2" t="s">
        <v>27</v>
      </c>
      <c r="E1216" s="5">
        <v>-29733</v>
      </c>
      <c r="F1216" s="3" t="s">
        <v>482</v>
      </c>
      <c r="G1216" s="3" t="s">
        <v>85</v>
      </c>
      <c r="H1216" s="2" t="s">
        <v>36</v>
      </c>
      <c r="I1216" s="2" t="s">
        <v>3093</v>
      </c>
      <c r="J1216" s="3" t="str">
        <f>HYPERLINK("https://www.boe.es/gazeta/dias/1818/08/04/pdfs/GMD-1818-93.pdf#page=3","Abrir facsímil")</f>
        <v>Abrir facsímil</v>
      </c>
      <c r="K1216" s="3" t="s">
        <v>38</v>
      </c>
    </row>
    <row r="1217" spans="1:11" ht="42" customHeight="1">
      <c r="A1217" s="2" t="s">
        <v>3091</v>
      </c>
      <c r="B1217" s="2" t="s">
        <v>3092</v>
      </c>
      <c r="C1217" s="2" t="s">
        <v>26</v>
      </c>
      <c r="D1217" s="2" t="s">
        <v>27</v>
      </c>
      <c r="E1217" s="5">
        <v>-29733</v>
      </c>
      <c r="F1217" s="3" t="s">
        <v>482</v>
      </c>
      <c r="G1217" s="3" t="s">
        <v>29</v>
      </c>
      <c r="H1217" s="2" t="s">
        <v>36</v>
      </c>
      <c r="I1217" s="2" t="s">
        <v>3094</v>
      </c>
      <c r="J1217" s="3" t="str">
        <f>HYPERLINK("https://www.boe.es/gazeta/dias/1818/08/04/pdfs/GMD-1818-93.pdf#page=4","Abrir facsímil")</f>
        <v>Abrir facsímil</v>
      </c>
      <c r="K1217" s="3" t="s">
        <v>38</v>
      </c>
    </row>
    <row r="1218" spans="1:11" ht="42" customHeight="1">
      <c r="A1218" s="2" t="s">
        <v>3095</v>
      </c>
      <c r="B1218" s="2" t="s">
        <v>3096</v>
      </c>
      <c r="C1218" s="2" t="s">
        <v>68</v>
      </c>
      <c r="D1218" s="2" t="s">
        <v>69</v>
      </c>
      <c r="E1218" s="5">
        <v>-29726</v>
      </c>
      <c r="F1218" s="3" t="s">
        <v>70</v>
      </c>
      <c r="G1218" s="3" t="s">
        <v>106</v>
      </c>
      <c r="H1218" s="2" t="s">
        <v>36</v>
      </c>
      <c r="I1218" s="2" t="s">
        <v>3097</v>
      </c>
      <c r="J1218" s="3" t="str">
        <f>HYPERLINK("https://www.boe.es/gazeta/dias/1818/08/11/pdfs/GMD-1818-96.pdf#page=5","Abrir facsímil")</f>
        <v>Abrir facsímil</v>
      </c>
      <c r="K1218" s="3" t="s">
        <v>38</v>
      </c>
    </row>
    <row r="1219" spans="1:11" ht="42" customHeight="1">
      <c r="A1219" s="2" t="s">
        <v>3098</v>
      </c>
      <c r="B1219" s="2" t="s">
        <v>3098</v>
      </c>
      <c r="C1219" s="2" t="s">
        <v>17</v>
      </c>
      <c r="D1219" s="2" t="s">
        <v>18</v>
      </c>
      <c r="E1219" s="5">
        <v>-29824</v>
      </c>
      <c r="F1219" s="3" t="s">
        <v>101</v>
      </c>
      <c r="G1219" s="3" t="s">
        <v>106</v>
      </c>
      <c r="H1219" s="2" t="s">
        <v>36</v>
      </c>
      <c r="I1219" s="2" t="s">
        <v>3099</v>
      </c>
      <c r="J1219" s="3" t="str">
        <f>HYPERLINK("https://www.boe.es/gazeta/dias/1818/05/05/pdfs/GMD-1818-54.pdf#page=5","Abrir facsímil")</f>
        <v>Abrir facsímil</v>
      </c>
      <c r="K1219" s="3" t="s">
        <v>38</v>
      </c>
    </row>
    <row r="1220" spans="1:11" ht="42" customHeight="1">
      <c r="A1220" s="2" t="s">
        <v>3100</v>
      </c>
      <c r="B1220" s="2" t="s">
        <v>3101</v>
      </c>
      <c r="C1220" s="2" t="s">
        <v>215</v>
      </c>
      <c r="D1220" s="2" t="s">
        <v>18</v>
      </c>
      <c r="E1220" s="5">
        <v>-29682</v>
      </c>
      <c r="F1220" s="3" t="s">
        <v>170</v>
      </c>
      <c r="G1220" s="3" t="s">
        <v>20</v>
      </c>
      <c r="H1220" s="2" t="s">
        <v>36</v>
      </c>
      <c r="I1220" s="2" t="s">
        <v>3102</v>
      </c>
      <c r="J1220" s="3" t="str">
        <f>HYPERLINK("https://www.boe.es/gazeta/dias/1818/09/24/pdfs/GMD-1818-115.pdf#page=7","Abrir facsímil")</f>
        <v>Abrir facsímil</v>
      </c>
      <c r="K1220" s="3" t="s">
        <v>38</v>
      </c>
    </row>
    <row r="1221" spans="1:11" ht="42" customHeight="1">
      <c r="A1221" s="2" t="s">
        <v>3103</v>
      </c>
      <c r="B1221" s="2" t="s">
        <v>3104</v>
      </c>
      <c r="C1221" s="2" t="s">
        <v>26</v>
      </c>
      <c r="D1221" s="2" t="s">
        <v>27</v>
      </c>
      <c r="E1221" s="5">
        <v>-29880</v>
      </c>
      <c r="F1221" s="3" t="s">
        <v>359</v>
      </c>
      <c r="G1221" s="3" t="s">
        <v>106</v>
      </c>
      <c r="H1221" s="2" t="s">
        <v>36</v>
      </c>
      <c r="I1221" s="2" t="s">
        <v>3105</v>
      </c>
      <c r="J1221" s="3" t="str">
        <f>HYPERLINK("https://www.boe.es/gazeta/dias/1818/03/10/pdfs/GMD-1818-30.pdf#page=5","Abrir facsímil")</f>
        <v>Abrir facsímil</v>
      </c>
      <c r="K1221" s="3" t="s">
        <v>38</v>
      </c>
    </row>
    <row r="1222" spans="1:11" ht="42" customHeight="1">
      <c r="A1222" s="2" t="s">
        <v>3106</v>
      </c>
      <c r="B1222" s="2" t="s">
        <v>3107</v>
      </c>
      <c r="C1222" s="2" t="s">
        <v>26</v>
      </c>
      <c r="D1222" s="2" t="s">
        <v>27</v>
      </c>
      <c r="E1222" s="5">
        <v>-29703</v>
      </c>
      <c r="F1222" s="3" t="s">
        <v>294</v>
      </c>
      <c r="G1222" s="3" t="s">
        <v>295</v>
      </c>
      <c r="H1222" s="2" t="s">
        <v>36</v>
      </c>
      <c r="I1222" s="2" t="s">
        <v>3108</v>
      </c>
      <c r="J1222" s="3" t="str">
        <f>HYPERLINK("https://www.boe.es/gazeta/dias/1818/09/03/pdfs/GMD-1818-106.pdf#page=5","Abrir facsímil")</f>
        <v>Abrir facsímil</v>
      </c>
      <c r="K1222" s="3" t="s">
        <v>38</v>
      </c>
    </row>
    <row r="1223" spans="1:11" ht="42" customHeight="1">
      <c r="A1223" s="2" t="s">
        <v>3109</v>
      </c>
      <c r="B1223" s="2" t="s">
        <v>3110</v>
      </c>
      <c r="C1223" s="2" t="s">
        <v>33</v>
      </c>
      <c r="D1223" s="2" t="s">
        <v>18</v>
      </c>
      <c r="E1223" s="5">
        <v>-29899</v>
      </c>
      <c r="F1223" s="3" t="s">
        <v>232</v>
      </c>
      <c r="G1223" s="3" t="s">
        <v>45</v>
      </c>
      <c r="H1223" s="2" t="s">
        <v>36</v>
      </c>
      <c r="I1223" s="2" t="s">
        <v>3111</v>
      </c>
      <c r="J1223" s="3" t="str">
        <f>HYPERLINK("https://www.boe.es/gazeta/dias/1818/02/19/pdfs/GMD-1818-22.pdf#page=8","Abrir facsímil")</f>
        <v>Abrir facsímil</v>
      </c>
      <c r="K1223" s="3" t="s">
        <v>38</v>
      </c>
    </row>
    <row r="1224" spans="1:11" ht="42" customHeight="1">
      <c r="A1224" s="2" t="s">
        <v>3112</v>
      </c>
      <c r="B1224" s="2" t="s">
        <v>3112</v>
      </c>
      <c r="C1224" s="2" t="s">
        <v>97</v>
      </c>
      <c r="D1224" s="2" t="s">
        <v>18</v>
      </c>
      <c r="E1224" s="5">
        <v>-29871</v>
      </c>
      <c r="F1224" s="3" t="s">
        <v>641</v>
      </c>
      <c r="G1224" s="3" t="s">
        <v>3113</v>
      </c>
      <c r="H1224" s="2" t="s">
        <v>36</v>
      </c>
      <c r="I1224" s="2" t="s">
        <v>3114</v>
      </c>
      <c r="J1224" s="3" t="str">
        <f>HYPERLINK("https://www.boe.es/gazeta/dias/1818/03/19/pdfs/GMD-1818-34.pdf#page=4","Abrir facsímil")</f>
        <v>Abrir facsímil</v>
      </c>
      <c r="K1224" s="3" t="s">
        <v>38</v>
      </c>
    </row>
    <row r="1225" spans="1:11" ht="42" customHeight="1">
      <c r="A1225" s="2" t="s">
        <v>3115</v>
      </c>
      <c r="B1225" s="2" t="s">
        <v>3115</v>
      </c>
      <c r="C1225" s="2" t="s">
        <v>26</v>
      </c>
      <c r="D1225" s="2" t="s">
        <v>27</v>
      </c>
      <c r="E1225" s="5">
        <v>-29691</v>
      </c>
      <c r="F1225" s="3" t="s">
        <v>144</v>
      </c>
      <c r="G1225" s="3" t="s">
        <v>85</v>
      </c>
      <c r="H1225" s="2" t="s">
        <v>36</v>
      </c>
      <c r="I1225" s="2" t="s">
        <v>3116</v>
      </c>
      <c r="J1225" s="3" t="str">
        <f>HYPERLINK("https://www.boe.es/gazeta/dias/1818/09/15/pdfs/GMD-1818-111.pdf#page=3","Abrir facsímil")</f>
        <v>Abrir facsímil</v>
      </c>
      <c r="K1225" s="3" t="s">
        <v>38</v>
      </c>
    </row>
    <row r="1226" spans="1:11" ht="42" customHeight="1">
      <c r="A1226" s="2" t="s">
        <v>3117</v>
      </c>
      <c r="B1226" s="2" t="s">
        <v>3118</v>
      </c>
      <c r="C1226" s="2" t="s">
        <v>17</v>
      </c>
      <c r="D1226" s="2" t="s">
        <v>18</v>
      </c>
      <c r="E1226" s="5">
        <v>-29698</v>
      </c>
      <c r="F1226" s="3" t="s">
        <v>148</v>
      </c>
      <c r="G1226" s="3" t="s">
        <v>29</v>
      </c>
      <c r="H1226" s="2" t="s">
        <v>36</v>
      </c>
      <c r="I1226" s="2" t="s">
        <v>3119</v>
      </c>
      <c r="J1226" s="3" t="str">
        <f>HYPERLINK("https://www.boe.es/gazeta/dias/1818/09/08/pdfs/GMD-1818-108.pdf#page=4","Abrir facsímil")</f>
        <v>Abrir facsímil</v>
      </c>
      <c r="K1226" s="3" t="s">
        <v>38</v>
      </c>
    </row>
    <row r="1227" spans="1:11" ht="42" customHeight="1">
      <c r="A1227" s="2" t="s">
        <v>3120</v>
      </c>
      <c r="B1227" s="2" t="s">
        <v>3121</v>
      </c>
      <c r="C1227" s="2" t="s">
        <v>26</v>
      </c>
      <c r="D1227" s="2" t="s">
        <v>27</v>
      </c>
      <c r="E1227" s="5">
        <v>-29666</v>
      </c>
      <c r="F1227" s="3" t="s">
        <v>258</v>
      </c>
      <c r="G1227" s="3" t="s">
        <v>59</v>
      </c>
      <c r="H1227" s="2" t="s">
        <v>36</v>
      </c>
      <c r="I1227" s="2" t="s">
        <v>3122</v>
      </c>
      <c r="J1227" s="3" t="str">
        <f>HYPERLINK("https://www.boe.es/gazeta/dias/1818/10/10/pdfs/GMD-1818-122.pdf#page=6","Abrir facsímil")</f>
        <v>Abrir facsímil</v>
      </c>
      <c r="K1227" s="3" t="s">
        <v>38</v>
      </c>
    </row>
    <row r="1228" spans="1:11" ht="42" customHeight="1">
      <c r="A1228" s="2" t="s">
        <v>3123</v>
      </c>
      <c r="B1228" s="2" t="s">
        <v>3124</v>
      </c>
      <c r="C1228" s="2" t="s">
        <v>26</v>
      </c>
      <c r="D1228" s="2" t="s">
        <v>27</v>
      </c>
      <c r="E1228" s="5">
        <v>-29705</v>
      </c>
      <c r="F1228" s="3" t="s">
        <v>680</v>
      </c>
      <c r="G1228" s="3" t="s">
        <v>106</v>
      </c>
      <c r="H1228" s="2" t="s">
        <v>36</v>
      </c>
      <c r="I1228" s="2" t="s">
        <v>3125</v>
      </c>
      <c r="J1228" s="3" t="str">
        <f>HYPERLINK("https://www.boe.es/gazeta/dias/1818/09/01/pdfs/GMD-1818-105.pdf#page=5","Abrir facsímil")</f>
        <v>Abrir facsímil</v>
      </c>
      <c r="K1228" s="3" t="s">
        <v>38</v>
      </c>
    </row>
    <row r="1229" spans="1:11" ht="42" customHeight="1">
      <c r="A1229" s="2" t="s">
        <v>3126</v>
      </c>
      <c r="B1229" s="2" t="s">
        <v>3127</v>
      </c>
      <c r="C1229" s="2" t="s">
        <v>57</v>
      </c>
      <c r="D1229" s="2" t="s">
        <v>18</v>
      </c>
      <c r="E1229" s="5">
        <v>-29663</v>
      </c>
      <c r="F1229" s="3" t="s">
        <v>1011</v>
      </c>
      <c r="G1229" s="3" t="s">
        <v>45</v>
      </c>
      <c r="H1229" s="2" t="s">
        <v>21</v>
      </c>
      <c r="I1229" s="2" t="s">
        <v>3128</v>
      </c>
      <c r="J1229" s="3" t="str">
        <f>HYPERLINK("https://www.boe.es/gazeta/dias/1818/10/13/pdfs/GMD-1818-123.pdf#page=8","Abrir facsímil")</f>
        <v>Abrir facsímil</v>
      </c>
      <c r="K1229" s="3" t="s">
        <v>23</v>
      </c>
    </row>
    <row r="1230" spans="1:11" ht="42" customHeight="1">
      <c r="A1230" s="2" t="s">
        <v>3129</v>
      </c>
      <c r="B1230" s="2" t="s">
        <v>3130</v>
      </c>
      <c r="C1230" s="2" t="s">
        <v>68</v>
      </c>
      <c r="D1230" s="2" t="s">
        <v>69</v>
      </c>
      <c r="E1230" s="5">
        <v>-29936</v>
      </c>
      <c r="F1230" s="3" t="s">
        <v>398</v>
      </c>
      <c r="G1230" s="3" t="s">
        <v>20</v>
      </c>
      <c r="H1230" s="2" t="s">
        <v>21</v>
      </c>
      <c r="I1230" s="2" t="s">
        <v>3131</v>
      </c>
      <c r="J1230" s="3" t="str">
        <f>HYPERLINK("https://www.boe.es/gazeta/dias/1818/01/13/pdfs/GMD-1818-6.pdf#page=7","Abrir facsímil")</f>
        <v>Abrir facsímil</v>
      </c>
      <c r="K1230" s="3" t="s">
        <v>23</v>
      </c>
    </row>
    <row r="1231" spans="1:11" ht="42" customHeight="1">
      <c r="A1231" s="2" t="s">
        <v>3132</v>
      </c>
      <c r="B1231" s="2" t="s">
        <v>3133</v>
      </c>
      <c r="C1231" s="2" t="s">
        <v>26</v>
      </c>
      <c r="D1231" s="2" t="s">
        <v>27</v>
      </c>
      <c r="E1231" s="5">
        <v>-29764</v>
      </c>
      <c r="F1231" s="3" t="s">
        <v>464</v>
      </c>
      <c r="G1231" s="3" t="s">
        <v>85</v>
      </c>
      <c r="H1231" s="2" t="s">
        <v>36</v>
      </c>
      <c r="I1231" s="2" t="s">
        <v>3134</v>
      </c>
      <c r="J1231" s="3" t="str">
        <f>HYPERLINK("https://www.boe.es/gazeta/dias/1818/07/04/pdfs/GMD-1818-80.pdf#page=3","Abrir facsímil")</f>
        <v>Abrir facsímil</v>
      </c>
      <c r="K1231" s="3" t="s">
        <v>38</v>
      </c>
    </row>
    <row r="1232" spans="1:11" ht="42" customHeight="1">
      <c r="A1232" s="2" t="s">
        <v>3135</v>
      </c>
      <c r="B1232" s="2" t="s">
        <v>3136</v>
      </c>
      <c r="C1232" s="2" t="s">
        <v>97</v>
      </c>
      <c r="D1232" s="2" t="s">
        <v>18</v>
      </c>
      <c r="E1232" s="5">
        <v>-29908</v>
      </c>
      <c r="F1232" s="3" t="s">
        <v>695</v>
      </c>
      <c r="G1232" s="3" t="s">
        <v>29</v>
      </c>
      <c r="H1232" s="2" t="s">
        <v>36</v>
      </c>
      <c r="I1232" s="2" t="s">
        <v>3137</v>
      </c>
      <c r="J1232" s="3" t="str">
        <f>HYPERLINK("https://www.boe.es/gazeta/dias/1818/02/10/pdfs/GMD-1818-18.pdf#page=4","Abrir facsímil")</f>
        <v>Abrir facsímil</v>
      </c>
      <c r="K1232" s="3" t="s">
        <v>38</v>
      </c>
    </row>
    <row r="1233" spans="1:11" ht="42" customHeight="1">
      <c r="A1233" s="2" t="s">
        <v>3138</v>
      </c>
      <c r="B1233" s="2" t="s">
        <v>3139</v>
      </c>
      <c r="C1233" s="2" t="s">
        <v>17</v>
      </c>
      <c r="D1233" s="2" t="s">
        <v>18</v>
      </c>
      <c r="E1233" s="5">
        <v>-29799</v>
      </c>
      <c r="F1233" s="3" t="s">
        <v>135</v>
      </c>
      <c r="G1233" s="3" t="s">
        <v>45</v>
      </c>
      <c r="H1233" s="2" t="s">
        <v>36</v>
      </c>
      <c r="I1233" s="2" t="s">
        <v>3140</v>
      </c>
      <c r="J1233" s="3" t="str">
        <f>HYPERLINK("https://www.boe.es/gazeta/dias/1818/05/30/pdfs/GMD-1818-65.pdf#page=8","Abrir facsímil")</f>
        <v>Abrir facsímil</v>
      </c>
      <c r="K1233" s="3" t="s">
        <v>38</v>
      </c>
    </row>
    <row r="1234" spans="1:11" ht="42" customHeight="1">
      <c r="A1234" s="2" t="s">
        <v>3141</v>
      </c>
      <c r="B1234" s="2" t="s">
        <v>3142</v>
      </c>
      <c r="C1234" s="2" t="s">
        <v>26</v>
      </c>
      <c r="D1234" s="2" t="s">
        <v>27</v>
      </c>
      <c r="E1234" s="5">
        <v>-29794</v>
      </c>
      <c r="F1234" s="3" t="s">
        <v>127</v>
      </c>
      <c r="G1234" s="3" t="s">
        <v>59</v>
      </c>
      <c r="H1234" s="2" t="s">
        <v>21</v>
      </c>
      <c r="I1234" s="2" t="s">
        <v>3143</v>
      </c>
      <c r="J1234" s="3" t="str">
        <f>HYPERLINK("https://www.boe.es/gazeta/dias/1818/06/04/pdfs/GMD-1818-67.pdf#page=6","Abrir facsímil")</f>
        <v>Abrir facsímil</v>
      </c>
      <c r="K1234" s="3" t="s">
        <v>23</v>
      </c>
    </row>
    <row r="1235" spans="1:11" ht="42" customHeight="1">
      <c r="A1235" s="2" t="s">
        <v>3144</v>
      </c>
      <c r="B1235" s="2" t="s">
        <v>3144</v>
      </c>
      <c r="C1235" s="2" t="s">
        <v>17</v>
      </c>
      <c r="D1235" s="2" t="s">
        <v>18</v>
      </c>
      <c r="E1235" s="5">
        <v>-29815</v>
      </c>
      <c r="F1235" s="3" t="s">
        <v>2169</v>
      </c>
      <c r="G1235" s="3" t="s">
        <v>2812</v>
      </c>
      <c r="H1235" s="2" t="s">
        <v>36</v>
      </c>
      <c r="I1235" s="2" t="s">
        <v>3145</v>
      </c>
      <c r="J1235" s="3" t="str">
        <f>HYPERLINK("https://www.boe.es/gazeta/dias/1818/05/14/pdfs/GMD-1818-58.pdf#page=5","Abrir facsímil")</f>
        <v>Abrir facsímil</v>
      </c>
      <c r="K1235" s="3" t="s">
        <v>38</v>
      </c>
    </row>
    <row r="1236" spans="1:11" ht="42" customHeight="1">
      <c r="A1236" s="2" t="s">
        <v>3146</v>
      </c>
      <c r="B1236" s="2" t="s">
        <v>3147</v>
      </c>
      <c r="C1236" s="2" t="s">
        <v>26</v>
      </c>
      <c r="D1236" s="2" t="s">
        <v>27</v>
      </c>
      <c r="E1236" s="5">
        <v>-29586</v>
      </c>
      <c r="F1236" s="3" t="s">
        <v>683</v>
      </c>
      <c r="G1236" s="3" t="s">
        <v>106</v>
      </c>
      <c r="H1236" s="2" t="s">
        <v>36</v>
      </c>
      <c r="I1236" s="2" t="s">
        <v>3148</v>
      </c>
      <c r="J1236" s="3" t="str">
        <f>HYPERLINK("https://www.boe.es/gazeta/dias/1818/12/29/pdfs/GMD-1818-158.pdf#page=5","Abrir facsímil")</f>
        <v>Abrir facsímil</v>
      </c>
      <c r="K1236" s="3" t="s">
        <v>38</v>
      </c>
    </row>
    <row r="1237" spans="1:11" ht="42" customHeight="1">
      <c r="A1237" s="2" t="s">
        <v>3149</v>
      </c>
      <c r="B1237" s="2" t="s">
        <v>3149</v>
      </c>
      <c r="C1237" s="2" t="s">
        <v>26</v>
      </c>
      <c r="D1237" s="2" t="s">
        <v>27</v>
      </c>
      <c r="E1237" s="5">
        <v>-29733</v>
      </c>
      <c r="F1237" s="3" t="s">
        <v>482</v>
      </c>
      <c r="G1237" s="3" t="s">
        <v>106</v>
      </c>
      <c r="H1237" s="2" t="s">
        <v>36</v>
      </c>
      <c r="I1237" s="2" t="s">
        <v>3150</v>
      </c>
      <c r="J1237" s="3" t="str">
        <f>HYPERLINK("https://www.boe.es/gazeta/dias/1818/08/04/pdfs/GMD-1818-93.pdf#page=5","Abrir facsímil")</f>
        <v>Abrir facsímil</v>
      </c>
      <c r="K1237" s="3" t="s">
        <v>38</v>
      </c>
    </row>
    <row r="1238" spans="1:11" ht="42" customHeight="1">
      <c r="A1238" s="2" t="s">
        <v>3151</v>
      </c>
      <c r="B1238" s="2" t="s">
        <v>3152</v>
      </c>
      <c r="C1238" s="2" t="s">
        <v>26</v>
      </c>
      <c r="D1238" s="2" t="s">
        <v>27</v>
      </c>
      <c r="E1238" s="5">
        <v>-29715</v>
      </c>
      <c r="F1238" s="3" t="s">
        <v>208</v>
      </c>
      <c r="G1238" s="3" t="s">
        <v>29</v>
      </c>
      <c r="H1238" s="2" t="s">
        <v>36</v>
      </c>
      <c r="I1238" s="2" t="s">
        <v>3153</v>
      </c>
      <c r="J1238" s="3" t="str">
        <f>HYPERLINK("https://www.boe.es/gazeta/dias/1818/08/22/pdfs/GMD-1818-101.pdf#page=4","Abrir facsímil")</f>
        <v>Abrir facsímil</v>
      </c>
      <c r="K1238" s="3" t="s">
        <v>38</v>
      </c>
    </row>
    <row r="1239" spans="1:11" ht="42" customHeight="1">
      <c r="A1239" s="2" t="s">
        <v>3154</v>
      </c>
      <c r="B1239" s="2" t="s">
        <v>3155</v>
      </c>
      <c r="C1239" s="2" t="s">
        <v>26</v>
      </c>
      <c r="D1239" s="2" t="s">
        <v>27</v>
      </c>
      <c r="E1239" s="5">
        <v>-29740</v>
      </c>
      <c r="F1239" s="3" t="s">
        <v>152</v>
      </c>
      <c r="G1239" s="3" t="s">
        <v>153</v>
      </c>
      <c r="H1239" s="2" t="s">
        <v>36</v>
      </c>
      <c r="I1239" s="2" t="s">
        <v>3156</v>
      </c>
      <c r="J1239" s="3" t="str">
        <f>HYPERLINK("https://www.boe.es/gazeta/dias/1818/07/28/pdfs/GMD-1818-90.pdf#page=6","Abrir facsímil")</f>
        <v>Abrir facsímil</v>
      </c>
      <c r="K1239" s="3" t="s">
        <v>38</v>
      </c>
    </row>
    <row r="1240" spans="1:11" ht="42" customHeight="1">
      <c r="A1240" s="2" t="s">
        <v>3157</v>
      </c>
      <c r="B1240" s="2" t="s">
        <v>3158</v>
      </c>
      <c r="C1240" s="2" t="s">
        <v>17</v>
      </c>
      <c r="D1240" s="2" t="s">
        <v>18</v>
      </c>
      <c r="E1240" s="5">
        <v>-29694</v>
      </c>
      <c r="F1240" s="3" t="s">
        <v>528</v>
      </c>
      <c r="G1240" s="3" t="s">
        <v>59</v>
      </c>
      <c r="H1240" s="2" t="s">
        <v>36</v>
      </c>
      <c r="I1240" s="2" t="s">
        <v>3159</v>
      </c>
      <c r="J1240" s="3" t="str">
        <f>HYPERLINK("https://www.boe.es/gazeta/dias/1818/09/12/pdfs/GMD-1818-110.pdf#page=6","Abrir facsímil")</f>
        <v>Abrir facsímil</v>
      </c>
      <c r="K1240" s="3" t="s">
        <v>38</v>
      </c>
    </row>
    <row r="1241" spans="1:11" ht="42" customHeight="1">
      <c r="A1241" s="2" t="s">
        <v>3160</v>
      </c>
      <c r="B1241" s="2" t="s">
        <v>3161</v>
      </c>
      <c r="C1241" s="2" t="s">
        <v>26</v>
      </c>
      <c r="D1241" s="2" t="s">
        <v>27</v>
      </c>
      <c r="E1241" s="5">
        <v>-29848</v>
      </c>
      <c r="F1241" s="3" t="s">
        <v>571</v>
      </c>
      <c r="G1241" s="3" t="s">
        <v>59</v>
      </c>
      <c r="H1241" s="2" t="s">
        <v>36</v>
      </c>
      <c r="I1241" s="2" t="s">
        <v>3162</v>
      </c>
      <c r="J1241" s="3" t="str">
        <f>HYPERLINK("https://www.boe.es/gazeta/dias/1818/04/11/pdfs/GMD-1818-44.pdf#page=6","Abrir facsímil")</f>
        <v>Abrir facsímil</v>
      </c>
      <c r="K1241" s="3" t="s">
        <v>38</v>
      </c>
    </row>
    <row r="1242" spans="1:11" ht="42" customHeight="1">
      <c r="A1242" s="2" t="s">
        <v>3163</v>
      </c>
      <c r="B1242" s="2" t="s">
        <v>3164</v>
      </c>
      <c r="C1242" s="2" t="s">
        <v>33</v>
      </c>
      <c r="D1242" s="2" t="s">
        <v>18</v>
      </c>
      <c r="E1242" s="5">
        <v>-29698</v>
      </c>
      <c r="F1242" s="3" t="s">
        <v>148</v>
      </c>
      <c r="G1242" s="3" t="s">
        <v>106</v>
      </c>
      <c r="H1242" s="2" t="s">
        <v>36</v>
      </c>
      <c r="I1242" s="2" t="s">
        <v>3165</v>
      </c>
      <c r="J1242" s="3" t="str">
        <f>HYPERLINK("https://www.boe.es/gazeta/dias/1818/09/08/pdfs/GMD-1818-108.pdf#page=5","Abrir facsímil")</f>
        <v>Abrir facsímil</v>
      </c>
      <c r="K1242" s="3" t="s">
        <v>38</v>
      </c>
    </row>
    <row r="1243" spans="1:11" ht="42" customHeight="1">
      <c r="A1243" s="2" t="s">
        <v>3166</v>
      </c>
      <c r="B1243" s="2" t="s">
        <v>3167</v>
      </c>
      <c r="C1243" s="2" t="s">
        <v>26</v>
      </c>
      <c r="D1243" s="2" t="s">
        <v>27</v>
      </c>
      <c r="E1243" s="5">
        <v>-29654</v>
      </c>
      <c r="F1243" s="3" t="s">
        <v>219</v>
      </c>
      <c r="G1243" s="3" t="s">
        <v>29</v>
      </c>
      <c r="H1243" s="2" t="s">
        <v>36</v>
      </c>
      <c r="I1243" s="2" t="s">
        <v>3168</v>
      </c>
      <c r="J1243" s="3" t="str">
        <f>HYPERLINK("https://www.boe.es/gazeta/dias/1818/10/22/pdfs/GMD-1818-128.pdf#page=4","Abrir facsímil")</f>
        <v>Abrir facsímil</v>
      </c>
      <c r="K1243" s="3" t="s">
        <v>38</v>
      </c>
    </row>
    <row r="1244" spans="1:11" ht="42" customHeight="1">
      <c r="A1244" s="2" t="s">
        <v>3166</v>
      </c>
      <c r="B1244" s="2" t="s">
        <v>3167</v>
      </c>
      <c r="C1244" s="2" t="s">
        <v>26</v>
      </c>
      <c r="D1244" s="2" t="s">
        <v>27</v>
      </c>
      <c r="E1244" s="5">
        <v>-29598</v>
      </c>
      <c r="F1244" s="3" t="s">
        <v>98</v>
      </c>
      <c r="G1244" s="3" t="s">
        <v>106</v>
      </c>
      <c r="H1244" s="2" t="s">
        <v>36</v>
      </c>
      <c r="I1244" s="2" t="s">
        <v>3169</v>
      </c>
      <c r="J1244" s="3" t="str">
        <f>HYPERLINK("https://www.boe.es/gazeta/dias/1818/12/17/pdfs/GMD-1818-152.pdf#page=5","Abrir facsímil")</f>
        <v>Abrir facsímil</v>
      </c>
      <c r="K1244" s="3" t="s">
        <v>38</v>
      </c>
    </row>
    <row r="1245" spans="1:11" ht="42" customHeight="1">
      <c r="A1245" s="2" t="s">
        <v>3170</v>
      </c>
      <c r="B1245" s="2" t="s">
        <v>3171</v>
      </c>
      <c r="C1245" s="2" t="s">
        <v>17</v>
      </c>
      <c r="D1245" s="2" t="s">
        <v>18</v>
      </c>
      <c r="E1245" s="5">
        <v>-29745</v>
      </c>
      <c r="F1245" s="3" t="s">
        <v>409</v>
      </c>
      <c r="G1245" s="3" t="s">
        <v>106</v>
      </c>
      <c r="H1245" s="2" t="s">
        <v>36</v>
      </c>
      <c r="I1245" s="2" t="s">
        <v>3172</v>
      </c>
      <c r="J1245" s="3" t="str">
        <f>HYPERLINK("https://www.boe.es/gazeta/dias/1818/07/23/pdfs/GMD-1818-88.pdf#page=5","Abrir facsímil")</f>
        <v>Abrir facsímil</v>
      </c>
      <c r="K1245" s="3" t="s">
        <v>38</v>
      </c>
    </row>
    <row r="1246" spans="1:11" ht="42" customHeight="1">
      <c r="A1246" s="2" t="s">
        <v>3173</v>
      </c>
      <c r="B1246" s="2" t="s">
        <v>3174</v>
      </c>
      <c r="C1246" s="2" t="s">
        <v>26</v>
      </c>
      <c r="D1246" s="2" t="s">
        <v>27</v>
      </c>
      <c r="E1246" s="5">
        <v>-29680</v>
      </c>
      <c r="F1246" s="3" t="s">
        <v>865</v>
      </c>
      <c r="G1246" s="3" t="s">
        <v>59</v>
      </c>
      <c r="H1246" s="2" t="s">
        <v>36</v>
      </c>
      <c r="I1246" s="2" t="s">
        <v>3175</v>
      </c>
      <c r="J1246" s="3" t="str">
        <f>HYPERLINK("https://www.boe.es/gazeta/dias/1818/09/26/pdfs/GMD-1818-116.pdf#page=6","Abrir facsímil")</f>
        <v>Abrir facsímil</v>
      </c>
      <c r="K1246" s="3" t="s">
        <v>38</v>
      </c>
    </row>
    <row r="1247" spans="1:11" ht="42" customHeight="1">
      <c r="A1247" s="2" t="s">
        <v>3176</v>
      </c>
      <c r="B1247" s="2" t="s">
        <v>3177</v>
      </c>
      <c r="C1247" s="2" t="s">
        <v>17</v>
      </c>
      <c r="D1247" s="2" t="s">
        <v>18</v>
      </c>
      <c r="E1247" s="5">
        <v>-29922</v>
      </c>
      <c r="F1247" s="3" t="s">
        <v>174</v>
      </c>
      <c r="G1247" s="3" t="s">
        <v>20</v>
      </c>
      <c r="H1247" s="2" t="s">
        <v>36</v>
      </c>
      <c r="I1247" s="2" t="s">
        <v>3178</v>
      </c>
      <c r="J1247" s="3" t="str">
        <f>HYPERLINK("https://www.boe.es/gazeta/dias/1818/01/27/pdfs/GMD-1818-12.pdf#page=7","Abrir facsímil")</f>
        <v>Abrir facsímil</v>
      </c>
      <c r="K1247" s="3" t="s">
        <v>38</v>
      </c>
    </row>
    <row r="1248" spans="1:11" ht="42" customHeight="1">
      <c r="A1248" s="2" t="s">
        <v>3179</v>
      </c>
      <c r="B1248" s="2" t="s">
        <v>3180</v>
      </c>
      <c r="C1248" s="2" t="s">
        <v>26</v>
      </c>
      <c r="D1248" s="2" t="s">
        <v>27</v>
      </c>
      <c r="E1248" s="5">
        <v>-29857</v>
      </c>
      <c r="F1248" s="3" t="s">
        <v>831</v>
      </c>
      <c r="G1248" s="3" t="s">
        <v>59</v>
      </c>
      <c r="H1248" s="2" t="s">
        <v>36</v>
      </c>
      <c r="I1248" s="2" t="s">
        <v>3181</v>
      </c>
      <c r="J1248" s="3" t="str">
        <f>HYPERLINK("https://www.boe.es/gazeta/dias/1818/04/02/pdfs/GMD-1818-40.pdf#page=6","Abrir facsímil")</f>
        <v>Abrir facsímil</v>
      </c>
      <c r="K1248" s="3" t="s">
        <v>38</v>
      </c>
    </row>
    <row r="1249" spans="1:11" ht="42" customHeight="1">
      <c r="A1249" s="2" t="s">
        <v>3179</v>
      </c>
      <c r="B1249" s="2" t="s">
        <v>3180</v>
      </c>
      <c r="C1249" s="2" t="s">
        <v>26</v>
      </c>
      <c r="D1249" s="2" t="s">
        <v>27</v>
      </c>
      <c r="E1249" s="5">
        <v>-29733</v>
      </c>
      <c r="F1249" s="3" t="s">
        <v>482</v>
      </c>
      <c r="G1249" s="3" t="s">
        <v>29</v>
      </c>
      <c r="H1249" s="2" t="s">
        <v>36</v>
      </c>
      <c r="I1249" s="2" t="s">
        <v>3182</v>
      </c>
      <c r="J1249" s="3" t="str">
        <f>HYPERLINK("https://www.boe.es/gazeta/dias/1818/08/04/pdfs/GMD-1818-93.pdf#page=4","Abrir facsímil")</f>
        <v>Abrir facsímil</v>
      </c>
      <c r="K1249" s="3" t="s">
        <v>38</v>
      </c>
    </row>
    <row r="1250" spans="1:11" ht="42" customHeight="1">
      <c r="A1250" s="2" t="s">
        <v>3179</v>
      </c>
      <c r="B1250" s="2" t="s">
        <v>3180</v>
      </c>
      <c r="C1250" s="2" t="s">
        <v>26</v>
      </c>
      <c r="D1250" s="2" t="s">
        <v>27</v>
      </c>
      <c r="E1250" s="5">
        <v>-29733</v>
      </c>
      <c r="F1250" s="3" t="s">
        <v>482</v>
      </c>
      <c r="G1250" s="3" t="s">
        <v>106</v>
      </c>
      <c r="H1250" s="2" t="s">
        <v>36</v>
      </c>
      <c r="I1250" s="2" t="s">
        <v>3183</v>
      </c>
      <c r="J1250" s="3" t="str">
        <f>HYPERLINK("https://www.boe.es/gazeta/dias/1818/08/04/pdfs/GMD-1818-93.pdf#page=5","Abrir facsímil")</f>
        <v>Abrir facsímil</v>
      </c>
      <c r="K1250" s="3" t="s">
        <v>38</v>
      </c>
    </row>
    <row r="1251" spans="1:11" ht="42" customHeight="1">
      <c r="A1251" s="2" t="s">
        <v>3184</v>
      </c>
      <c r="B1251" s="2" t="s">
        <v>3184</v>
      </c>
      <c r="C1251" s="2" t="s">
        <v>26</v>
      </c>
      <c r="D1251" s="2" t="s">
        <v>27</v>
      </c>
      <c r="E1251" s="5">
        <v>-29701</v>
      </c>
      <c r="F1251" s="3" t="s">
        <v>596</v>
      </c>
      <c r="G1251" s="3" t="s">
        <v>59</v>
      </c>
      <c r="H1251" s="2" t="s">
        <v>36</v>
      </c>
      <c r="I1251" s="2" t="s">
        <v>3185</v>
      </c>
      <c r="J1251" s="3" t="str">
        <f>HYPERLINK("https://www.boe.es/gazeta/dias/1818/09/05/pdfs/GMD-1818-107.pdf#page=6","Abrir facsímil")</f>
        <v>Abrir facsímil</v>
      </c>
      <c r="K1251" s="3" t="s">
        <v>38</v>
      </c>
    </row>
    <row r="1252" spans="1:11" ht="42" customHeight="1">
      <c r="A1252" s="2" t="s">
        <v>3186</v>
      </c>
      <c r="B1252" s="2" t="s">
        <v>3186</v>
      </c>
      <c r="C1252" s="2" t="s">
        <v>57</v>
      </c>
      <c r="D1252" s="2" t="s">
        <v>18</v>
      </c>
      <c r="E1252" s="5">
        <v>-29927</v>
      </c>
      <c r="F1252" s="3" t="s">
        <v>1381</v>
      </c>
      <c r="G1252" s="3" t="s">
        <v>45</v>
      </c>
      <c r="H1252" s="2" t="s">
        <v>36</v>
      </c>
      <c r="I1252" s="2" t="s">
        <v>3187</v>
      </c>
      <c r="J1252" s="3" t="str">
        <f>HYPERLINK("https://www.boe.es/gazeta/dias/1818/01/22/pdfs/GMD-1818-10.pdf#page=8","Abrir facsímil")</f>
        <v>Abrir facsímil</v>
      </c>
      <c r="K1252" s="3" t="s">
        <v>38</v>
      </c>
    </row>
    <row r="1253" spans="1:11" ht="42" customHeight="1">
      <c r="A1253" s="2" t="s">
        <v>3186</v>
      </c>
      <c r="B1253" s="2" t="s">
        <v>3186</v>
      </c>
      <c r="C1253" s="2" t="s">
        <v>33</v>
      </c>
      <c r="D1253" s="2" t="s">
        <v>18</v>
      </c>
      <c r="E1253" s="5">
        <v>-29773</v>
      </c>
      <c r="F1253" s="3" t="s">
        <v>424</v>
      </c>
      <c r="G1253" s="3" t="s">
        <v>20</v>
      </c>
      <c r="H1253" s="2" t="s">
        <v>36</v>
      </c>
      <c r="I1253" s="2" t="s">
        <v>3188</v>
      </c>
      <c r="J1253" s="3" t="str">
        <f>HYPERLINK("https://www.boe.es/gazeta/dias/1818/06/25/pdfs/GMD-1818-76.pdf#page=7","Abrir facsímil")</f>
        <v>Abrir facsímil</v>
      </c>
      <c r="K1253" s="3" t="s">
        <v>38</v>
      </c>
    </row>
    <row r="1254" spans="1:11" ht="42" customHeight="1">
      <c r="A1254" s="2" t="s">
        <v>3186</v>
      </c>
      <c r="B1254" s="2" t="s">
        <v>3186</v>
      </c>
      <c r="C1254" s="2" t="s">
        <v>68</v>
      </c>
      <c r="D1254" s="2" t="s">
        <v>69</v>
      </c>
      <c r="E1254" s="5">
        <v>-29656</v>
      </c>
      <c r="F1254" s="3" t="s">
        <v>601</v>
      </c>
      <c r="G1254" s="3" t="s">
        <v>20</v>
      </c>
      <c r="H1254" s="2" t="s">
        <v>36</v>
      </c>
      <c r="I1254" s="2" t="s">
        <v>3189</v>
      </c>
      <c r="J1254" s="3" t="str">
        <f>HYPERLINK("https://www.boe.es/gazeta/dias/1818/10/20/pdfs/GMD-1818-127.pdf#page=7","Abrir facsímil")</f>
        <v>Abrir facsímil</v>
      </c>
      <c r="K1254" s="3" t="s">
        <v>38</v>
      </c>
    </row>
    <row r="1255" spans="1:11" ht="42" customHeight="1">
      <c r="A1255" s="2" t="s">
        <v>3186</v>
      </c>
      <c r="B1255" s="2" t="s">
        <v>3186</v>
      </c>
      <c r="C1255" s="2" t="s">
        <v>63</v>
      </c>
      <c r="D1255" s="2" t="s">
        <v>18</v>
      </c>
      <c r="E1255" s="5">
        <v>-29614</v>
      </c>
      <c r="F1255" s="3" t="s">
        <v>620</v>
      </c>
      <c r="G1255" s="3" t="s">
        <v>45</v>
      </c>
      <c r="H1255" s="2" t="s">
        <v>36</v>
      </c>
      <c r="I1255" s="2" t="s">
        <v>3190</v>
      </c>
      <c r="J1255" s="3" t="str">
        <f>HYPERLINK("https://www.boe.es/gazeta/dias/1818/12/01/pdfs/GMD-1818-145.pdf#page=8","Abrir facsímil")</f>
        <v>Abrir facsímil</v>
      </c>
      <c r="K1255" s="3" t="s">
        <v>38</v>
      </c>
    </row>
    <row r="1256" spans="1:11" ht="42" customHeight="1">
      <c r="A1256" s="2" t="s">
        <v>3191</v>
      </c>
      <c r="B1256" s="2" t="s">
        <v>3192</v>
      </c>
      <c r="C1256" s="2" t="s">
        <v>17</v>
      </c>
      <c r="D1256" s="2" t="s">
        <v>18</v>
      </c>
      <c r="E1256" s="5">
        <v>-29740</v>
      </c>
      <c r="F1256" s="3" t="s">
        <v>152</v>
      </c>
      <c r="G1256" s="3" t="s">
        <v>20</v>
      </c>
      <c r="H1256" s="2" t="s">
        <v>36</v>
      </c>
      <c r="I1256" s="2" t="s">
        <v>3193</v>
      </c>
      <c r="J1256" s="3" t="str">
        <f>HYPERLINK("https://www.boe.es/gazeta/dias/1818/07/28/pdfs/GMD-1818-90.pdf#page=7","Abrir facsímil")</f>
        <v>Abrir facsímil</v>
      </c>
      <c r="K1256" s="3" t="s">
        <v>38</v>
      </c>
    </row>
    <row r="1257" spans="1:11" ht="42" customHeight="1">
      <c r="A1257" s="2" t="s">
        <v>3194</v>
      </c>
      <c r="B1257" s="2" t="s">
        <v>3194</v>
      </c>
      <c r="C1257" s="2" t="s">
        <v>63</v>
      </c>
      <c r="D1257" s="2" t="s">
        <v>18</v>
      </c>
      <c r="E1257" s="5">
        <v>-29946</v>
      </c>
      <c r="F1257" s="3" t="s">
        <v>724</v>
      </c>
      <c r="G1257" s="3" t="s">
        <v>49</v>
      </c>
      <c r="H1257" s="2" t="s">
        <v>36</v>
      </c>
      <c r="I1257" s="2" t="s">
        <v>3195</v>
      </c>
      <c r="J1257" s="3" t="str">
        <f>HYPERLINK("https://www.boe.es/gazeta/dias/1818/01/03/pdfs/GMD-1818-2.pdf#page=1","Abrir facsímil")</f>
        <v>Abrir facsímil</v>
      </c>
      <c r="K1257" s="3" t="s">
        <v>38</v>
      </c>
    </row>
    <row r="1258" spans="1:11" ht="42" customHeight="1">
      <c r="A1258" s="2" t="s">
        <v>3196</v>
      </c>
      <c r="B1258" s="2" t="s">
        <v>3197</v>
      </c>
      <c r="C1258" s="2" t="s">
        <v>68</v>
      </c>
      <c r="D1258" s="2" t="s">
        <v>69</v>
      </c>
      <c r="E1258" s="5">
        <v>-29796</v>
      </c>
      <c r="F1258" s="3" t="s">
        <v>1359</v>
      </c>
      <c r="G1258" s="3" t="s">
        <v>3198</v>
      </c>
      <c r="H1258" s="2" t="s">
        <v>21</v>
      </c>
      <c r="I1258" s="2" t="s">
        <v>3199</v>
      </c>
      <c r="J1258" s="3" t="str">
        <f>HYPERLINK("https://www.boe.es/gazeta/dias/1818/06/02/pdfs/GMD-1818-66.pdf#page=8","Abrir facsímil")</f>
        <v>Abrir facsímil</v>
      </c>
      <c r="K1258" s="3" t="s">
        <v>23</v>
      </c>
    </row>
    <row r="1259" spans="1:11" ht="42" customHeight="1">
      <c r="A1259" s="2" t="s">
        <v>3200</v>
      </c>
      <c r="B1259" s="2" t="s">
        <v>3200</v>
      </c>
      <c r="C1259" s="2" t="s">
        <v>26</v>
      </c>
      <c r="D1259" s="2" t="s">
        <v>27</v>
      </c>
      <c r="E1259" s="5">
        <v>-29936</v>
      </c>
      <c r="F1259" s="3" t="s">
        <v>398</v>
      </c>
      <c r="G1259" s="3" t="s">
        <v>59</v>
      </c>
      <c r="H1259" s="2" t="s">
        <v>36</v>
      </c>
      <c r="I1259" s="2" t="s">
        <v>3201</v>
      </c>
      <c r="J1259" s="3" t="str">
        <f>HYPERLINK("https://www.boe.es/gazeta/dias/1818/01/13/pdfs/GMD-1818-6.pdf#page=6","Abrir facsímil")</f>
        <v>Abrir facsímil</v>
      </c>
      <c r="K1259" s="3" t="s">
        <v>38</v>
      </c>
    </row>
    <row r="1260" spans="1:11" ht="42" customHeight="1">
      <c r="A1260" s="2" t="s">
        <v>3202</v>
      </c>
      <c r="B1260" s="2" t="s">
        <v>3202</v>
      </c>
      <c r="C1260" s="2" t="s">
        <v>26</v>
      </c>
      <c r="D1260" s="2" t="s">
        <v>27</v>
      </c>
      <c r="E1260" s="5">
        <v>-29773</v>
      </c>
      <c r="F1260" s="3" t="s">
        <v>424</v>
      </c>
      <c r="G1260" s="3" t="s">
        <v>85</v>
      </c>
      <c r="H1260" s="2" t="s">
        <v>36</v>
      </c>
      <c r="I1260" s="2" t="s">
        <v>3203</v>
      </c>
      <c r="J1260" s="3" t="str">
        <f>HYPERLINK("https://www.boe.es/gazeta/dias/1818/06/25/pdfs/GMD-1818-76.pdf#page=3","Abrir facsímil")</f>
        <v>Abrir facsímil</v>
      </c>
      <c r="K1260" s="3" t="s">
        <v>38</v>
      </c>
    </row>
    <row r="1261" spans="1:11" ht="42" customHeight="1">
      <c r="A1261" s="2" t="s">
        <v>3204</v>
      </c>
      <c r="B1261" s="2" t="s">
        <v>3204</v>
      </c>
      <c r="C1261" s="2" t="s">
        <v>26</v>
      </c>
      <c r="D1261" s="2" t="s">
        <v>27</v>
      </c>
      <c r="E1261" s="5">
        <v>-29642</v>
      </c>
      <c r="F1261" s="3" t="s">
        <v>248</v>
      </c>
      <c r="G1261" s="3" t="s">
        <v>49</v>
      </c>
      <c r="H1261" s="2" t="s">
        <v>36</v>
      </c>
      <c r="I1261" s="2" t="s">
        <v>3205</v>
      </c>
      <c r="J1261" s="3" t="str">
        <f>HYPERLINK("https://www.boe.es/gazeta/dias/1818/11/03/pdfs/GMD-1818-133.pdf#page=1","Abrir facsímil")</f>
        <v>Abrir facsímil</v>
      </c>
      <c r="K1261" s="3" t="s">
        <v>38</v>
      </c>
    </row>
    <row r="1262" spans="1:11" ht="42" customHeight="1">
      <c r="A1262" s="2" t="s">
        <v>3206</v>
      </c>
      <c r="B1262" s="2" t="s">
        <v>3207</v>
      </c>
      <c r="C1262" s="2" t="s">
        <v>68</v>
      </c>
      <c r="D1262" s="2" t="s">
        <v>69</v>
      </c>
      <c r="E1262" s="5">
        <v>-29822</v>
      </c>
      <c r="F1262" s="3" t="s">
        <v>373</v>
      </c>
      <c r="G1262" s="3" t="s">
        <v>45</v>
      </c>
      <c r="H1262" s="2" t="s">
        <v>36</v>
      </c>
      <c r="I1262" s="2" t="s">
        <v>3208</v>
      </c>
      <c r="J1262" s="3" t="str">
        <f>HYPERLINK("https://www.boe.es/gazeta/dias/1818/05/07/pdfs/GMD-1818-55.pdf#page=8","Abrir facsímil")</f>
        <v>Abrir facsímil</v>
      </c>
      <c r="K1262" s="3" t="s">
        <v>38</v>
      </c>
    </row>
    <row r="1263" spans="1:11" ht="42" customHeight="1">
      <c r="A1263" s="2" t="s">
        <v>3209</v>
      </c>
      <c r="B1263" s="2" t="s">
        <v>3209</v>
      </c>
      <c r="C1263" s="2" t="s">
        <v>57</v>
      </c>
      <c r="D1263" s="2" t="s">
        <v>18</v>
      </c>
      <c r="E1263" s="5">
        <v>-29939</v>
      </c>
      <c r="F1263" s="3" t="s">
        <v>110</v>
      </c>
      <c r="G1263" s="3" t="s">
        <v>116</v>
      </c>
      <c r="H1263" s="2" t="s">
        <v>36</v>
      </c>
      <c r="I1263" s="2" t="s">
        <v>3210</v>
      </c>
      <c r="J1263" s="3" t="str">
        <f>HYPERLINK("https://www.boe.es/gazeta/dias/1818/01/10/pdfs/GMD-1818-5.pdf#page=12","Abrir facsímil")</f>
        <v>Abrir facsímil</v>
      </c>
      <c r="K1263" s="3" t="s">
        <v>38</v>
      </c>
    </row>
    <row r="1264" spans="1:11" ht="42" customHeight="1">
      <c r="A1264" s="2" t="s">
        <v>3211</v>
      </c>
      <c r="B1264" s="2" t="s">
        <v>3211</v>
      </c>
      <c r="C1264" s="2" t="s">
        <v>26</v>
      </c>
      <c r="D1264" s="2" t="s">
        <v>27</v>
      </c>
      <c r="E1264" s="5">
        <v>-29897</v>
      </c>
      <c r="F1264" s="3" t="s">
        <v>318</v>
      </c>
      <c r="G1264" s="3" t="s">
        <v>106</v>
      </c>
      <c r="H1264" s="2" t="s">
        <v>36</v>
      </c>
      <c r="I1264" s="2" t="s">
        <v>3212</v>
      </c>
      <c r="J1264" s="3" t="str">
        <f>HYPERLINK("https://www.boe.es/gazeta/dias/1818/02/21/pdfs/GMD-1818-23.pdf#page=5","Abrir facsímil")</f>
        <v>Abrir facsímil</v>
      </c>
      <c r="K1264" s="3" t="s">
        <v>38</v>
      </c>
    </row>
    <row r="1265" spans="1:11" ht="42" customHeight="1">
      <c r="A1265" s="2" t="s">
        <v>3213</v>
      </c>
      <c r="B1265" s="2" t="s">
        <v>3214</v>
      </c>
      <c r="C1265" s="2" t="s">
        <v>26</v>
      </c>
      <c r="D1265" s="2" t="s">
        <v>27</v>
      </c>
      <c r="E1265" s="5">
        <v>-29740</v>
      </c>
      <c r="F1265" s="3" t="s">
        <v>152</v>
      </c>
      <c r="G1265" s="3" t="s">
        <v>153</v>
      </c>
      <c r="H1265" s="2" t="s">
        <v>36</v>
      </c>
      <c r="I1265" s="2" t="s">
        <v>3215</v>
      </c>
      <c r="J1265" s="3" t="str">
        <f>HYPERLINK("https://www.boe.es/gazeta/dias/1818/07/28/pdfs/GMD-1818-90.pdf#page=6","Abrir facsímil")</f>
        <v>Abrir facsímil</v>
      </c>
      <c r="K1265" s="3" t="s">
        <v>38</v>
      </c>
    </row>
    <row r="1266" spans="1:11" ht="42" customHeight="1">
      <c r="A1266" s="2" t="s">
        <v>3216</v>
      </c>
      <c r="B1266" s="2" t="s">
        <v>3217</v>
      </c>
      <c r="C1266" s="2" t="s">
        <v>26</v>
      </c>
      <c r="D1266" s="2" t="s">
        <v>27</v>
      </c>
      <c r="E1266" s="5">
        <v>-29806</v>
      </c>
      <c r="F1266" s="3" t="s">
        <v>84</v>
      </c>
      <c r="G1266" s="3" t="s">
        <v>45</v>
      </c>
      <c r="H1266" s="2" t="s">
        <v>36</v>
      </c>
      <c r="I1266" s="2" t="s">
        <v>3218</v>
      </c>
      <c r="J1266" s="3" t="str">
        <f>HYPERLINK("https://www.boe.es/gazeta/dias/1818/05/23/pdfs/GMD-1818-62.pdf#page=8","Abrir facsímil")</f>
        <v>Abrir facsímil</v>
      </c>
      <c r="K1266" s="3" t="s">
        <v>38</v>
      </c>
    </row>
    <row r="1267" spans="1:11" ht="42" customHeight="1">
      <c r="A1267" s="2" t="s">
        <v>3219</v>
      </c>
      <c r="B1267" s="2" t="s">
        <v>3220</v>
      </c>
      <c r="C1267" s="2" t="s">
        <v>68</v>
      </c>
      <c r="D1267" s="2" t="s">
        <v>69</v>
      </c>
      <c r="E1267" s="5">
        <v>-29936</v>
      </c>
      <c r="F1267" s="3" t="s">
        <v>398</v>
      </c>
      <c r="G1267" s="3" t="s">
        <v>20</v>
      </c>
      <c r="H1267" s="2" t="s">
        <v>36</v>
      </c>
      <c r="I1267" s="2" t="s">
        <v>3221</v>
      </c>
      <c r="J1267" s="3" t="str">
        <f>HYPERLINK("https://www.boe.es/gazeta/dias/1818/01/13/pdfs/GMD-1818-6.pdf#page=7","Abrir facsímil")</f>
        <v>Abrir facsímil</v>
      </c>
      <c r="K1267" s="3" t="s">
        <v>38</v>
      </c>
    </row>
    <row r="1268" spans="1:11" ht="42" customHeight="1">
      <c r="A1268" s="2" t="s">
        <v>3222</v>
      </c>
      <c r="B1268" s="2" t="s">
        <v>3223</v>
      </c>
      <c r="C1268" s="2" t="s">
        <v>63</v>
      </c>
      <c r="D1268" s="2" t="s">
        <v>18</v>
      </c>
      <c r="E1268" s="5">
        <v>-29619</v>
      </c>
      <c r="F1268" s="3" t="s">
        <v>64</v>
      </c>
      <c r="G1268" s="3" t="s">
        <v>20</v>
      </c>
      <c r="H1268" s="2" t="s">
        <v>36</v>
      </c>
      <c r="I1268" s="2" t="s">
        <v>3224</v>
      </c>
      <c r="J1268" s="3" t="str">
        <f>HYPERLINK("https://www.boe.es/gazeta/dias/1818/11/26/pdfs/GMD-1818-143.pdf#page=7","Abrir facsímil")</f>
        <v>Abrir facsímil</v>
      </c>
      <c r="K1268" s="3" t="s">
        <v>38</v>
      </c>
    </row>
    <row r="1269" spans="1:11" ht="42" customHeight="1">
      <c r="A1269" s="2" t="s">
        <v>3225</v>
      </c>
      <c r="B1269" s="2" t="s">
        <v>3225</v>
      </c>
      <c r="C1269" s="2" t="s">
        <v>68</v>
      </c>
      <c r="D1269" s="2" t="s">
        <v>69</v>
      </c>
      <c r="E1269" s="5">
        <v>-29729</v>
      </c>
      <c r="F1269" s="3" t="s">
        <v>488</v>
      </c>
      <c r="G1269" s="3" t="s">
        <v>20</v>
      </c>
      <c r="H1269" s="2" t="s">
        <v>36</v>
      </c>
      <c r="I1269" s="2" t="s">
        <v>3226</v>
      </c>
      <c r="J1269" s="3" t="str">
        <f>HYPERLINK("https://www.boe.es/gazeta/dias/1818/08/08/pdfs/GMD-1818-95.pdf#page=7","Abrir facsímil")</f>
        <v>Abrir facsímil</v>
      </c>
      <c r="K1269" s="3" t="s">
        <v>38</v>
      </c>
    </row>
    <row r="1270" spans="1:11" ht="42" customHeight="1">
      <c r="A1270" s="2" t="s">
        <v>3227</v>
      </c>
      <c r="B1270" s="2" t="s">
        <v>3228</v>
      </c>
      <c r="C1270" s="2" t="s">
        <v>68</v>
      </c>
      <c r="D1270" s="2" t="s">
        <v>69</v>
      </c>
      <c r="E1270" s="5">
        <v>-29782</v>
      </c>
      <c r="F1270" s="3" t="s">
        <v>226</v>
      </c>
      <c r="G1270" s="3" t="s">
        <v>20</v>
      </c>
      <c r="H1270" s="2" t="s">
        <v>36</v>
      </c>
      <c r="I1270" s="2" t="s">
        <v>3229</v>
      </c>
      <c r="J1270" s="3" t="str">
        <f>HYPERLINK("https://www.boe.es/gazeta/dias/1818/06/16/pdfs/GMD-1818-72.pdf#page=7","Abrir facsímil")</f>
        <v>Abrir facsímil</v>
      </c>
      <c r="K1270" s="3" t="s">
        <v>38</v>
      </c>
    </row>
    <row r="1271" spans="1:11" ht="42" customHeight="1">
      <c r="A1271" s="2" t="s">
        <v>3230</v>
      </c>
      <c r="B1271" s="2" t="s">
        <v>3231</v>
      </c>
      <c r="C1271" s="2" t="s">
        <v>63</v>
      </c>
      <c r="D1271" s="2" t="s">
        <v>18</v>
      </c>
      <c r="E1271" s="5">
        <v>-29670</v>
      </c>
      <c r="F1271" s="3" t="s">
        <v>48</v>
      </c>
      <c r="G1271" s="3" t="s">
        <v>45</v>
      </c>
      <c r="H1271" s="2" t="s">
        <v>36</v>
      </c>
      <c r="I1271" s="2" t="s">
        <v>3232</v>
      </c>
      <c r="J1271" s="3" t="str">
        <f>HYPERLINK("https://www.boe.es/gazeta/dias/1818/10/06/pdfs/GMD-1818-120.pdf#page=8","Abrir facsímil")</f>
        <v>Abrir facsímil</v>
      </c>
      <c r="K1271" s="3" t="s">
        <v>38</v>
      </c>
    </row>
    <row r="1272" spans="1:11" ht="42" customHeight="1">
      <c r="A1272" s="2" t="s">
        <v>3230</v>
      </c>
      <c r="B1272" s="2" t="s">
        <v>3231</v>
      </c>
      <c r="C1272" s="2" t="s">
        <v>26</v>
      </c>
      <c r="D1272" s="2" t="s">
        <v>27</v>
      </c>
      <c r="E1272" s="5">
        <v>-29642</v>
      </c>
      <c r="F1272" s="3" t="s">
        <v>248</v>
      </c>
      <c r="G1272" s="3" t="s">
        <v>249</v>
      </c>
      <c r="H1272" s="2" t="s">
        <v>36</v>
      </c>
      <c r="I1272" s="2" t="s">
        <v>3233</v>
      </c>
      <c r="J1272" s="3" t="str">
        <f>HYPERLINK("https://www.boe.es/gazeta/dias/1818/11/03/pdfs/GMD-1818-133.pdf#page=8","Abrir facsímil")</f>
        <v>Abrir facsímil</v>
      </c>
      <c r="K1272" s="3" t="s">
        <v>38</v>
      </c>
    </row>
    <row r="1273" spans="1:11" ht="42" customHeight="1">
      <c r="A1273" s="2" t="s">
        <v>3234</v>
      </c>
      <c r="B1273" s="2" t="s">
        <v>3235</v>
      </c>
      <c r="C1273" s="2" t="s">
        <v>63</v>
      </c>
      <c r="D1273" s="2" t="s">
        <v>18</v>
      </c>
      <c r="E1273" s="5">
        <v>-29586</v>
      </c>
      <c r="F1273" s="3" t="s">
        <v>683</v>
      </c>
      <c r="G1273" s="3" t="s">
        <v>45</v>
      </c>
      <c r="H1273" s="2" t="s">
        <v>36</v>
      </c>
      <c r="I1273" s="2" t="s">
        <v>3236</v>
      </c>
      <c r="J1273" s="3" t="str">
        <f>HYPERLINK("https://www.boe.es/gazeta/dias/1818/12/29/pdfs/GMD-1818-158.pdf#page=8","Abrir facsímil")</f>
        <v>Abrir facsímil</v>
      </c>
      <c r="K1273" s="3" t="s">
        <v>38</v>
      </c>
    </row>
    <row r="1274" spans="1:11" ht="42" customHeight="1">
      <c r="A1274" s="2" t="s">
        <v>3237</v>
      </c>
      <c r="B1274" s="2" t="s">
        <v>3237</v>
      </c>
      <c r="C1274" s="2" t="s">
        <v>26</v>
      </c>
      <c r="D1274" s="2" t="s">
        <v>27</v>
      </c>
      <c r="E1274" s="5">
        <v>-29915</v>
      </c>
      <c r="F1274" s="3" t="s">
        <v>429</v>
      </c>
      <c r="G1274" s="3" t="s">
        <v>49</v>
      </c>
      <c r="H1274" s="2" t="s">
        <v>36</v>
      </c>
      <c r="I1274" s="2" t="s">
        <v>3238</v>
      </c>
      <c r="J1274" s="3" t="str">
        <f>HYPERLINK("https://www.boe.es/gazeta/dias/1818/02/03/pdfs/GMD-1818-15.pdf#page=1","Abrir facsímil")</f>
        <v>Abrir facsímil</v>
      </c>
      <c r="K1274" s="3" t="s">
        <v>38</v>
      </c>
    </row>
    <row r="1275" spans="1:11" ht="42" customHeight="1">
      <c r="A1275" s="2" t="s">
        <v>3239</v>
      </c>
      <c r="B1275" s="2" t="s">
        <v>3240</v>
      </c>
      <c r="C1275" s="2" t="s">
        <v>57</v>
      </c>
      <c r="D1275" s="2" t="s">
        <v>18</v>
      </c>
      <c r="E1275" s="5">
        <v>-29852</v>
      </c>
      <c r="F1275" s="3" t="s">
        <v>327</v>
      </c>
      <c r="G1275" s="3" t="s">
        <v>45</v>
      </c>
      <c r="H1275" s="2" t="s">
        <v>36</v>
      </c>
      <c r="I1275" s="2" t="s">
        <v>3241</v>
      </c>
      <c r="J1275" s="3" t="str">
        <f>HYPERLINK("https://www.boe.es/gazeta/dias/1818/04/07/pdfs/GMD-1818-42.pdf#page=8","Abrir facsímil")</f>
        <v>Abrir facsímil</v>
      </c>
      <c r="K1275" s="3" t="s">
        <v>38</v>
      </c>
    </row>
    <row r="1276" spans="1:11" ht="42" customHeight="1">
      <c r="A1276" s="2" t="s">
        <v>3242</v>
      </c>
      <c r="B1276" s="2" t="s">
        <v>3242</v>
      </c>
      <c r="C1276" s="2" t="s">
        <v>17</v>
      </c>
      <c r="D1276" s="2" t="s">
        <v>18</v>
      </c>
      <c r="E1276" s="5">
        <v>-29824</v>
      </c>
      <c r="F1276" s="3" t="s">
        <v>101</v>
      </c>
      <c r="G1276" s="3" t="s">
        <v>106</v>
      </c>
      <c r="H1276" s="2" t="s">
        <v>36</v>
      </c>
      <c r="I1276" s="2" t="s">
        <v>3243</v>
      </c>
      <c r="J1276" s="3" t="str">
        <f>HYPERLINK("https://www.boe.es/gazeta/dias/1818/05/05/pdfs/GMD-1818-54.pdf#page=5","Abrir facsímil")</f>
        <v>Abrir facsímil</v>
      </c>
      <c r="K1276" s="3" t="s">
        <v>38</v>
      </c>
    </row>
    <row r="1277" spans="1:11" ht="42" customHeight="1">
      <c r="A1277" s="2" t="s">
        <v>3244</v>
      </c>
      <c r="B1277" s="2" t="s">
        <v>3244</v>
      </c>
      <c r="C1277" s="2" t="s">
        <v>26</v>
      </c>
      <c r="D1277" s="2" t="s">
        <v>27</v>
      </c>
      <c r="E1277" s="5">
        <v>-29862</v>
      </c>
      <c r="F1277" s="3" t="s">
        <v>925</v>
      </c>
      <c r="G1277" s="3" t="s">
        <v>106</v>
      </c>
      <c r="H1277" s="2" t="s">
        <v>36</v>
      </c>
      <c r="I1277" s="2" t="s">
        <v>3245</v>
      </c>
      <c r="J1277" s="3" t="str">
        <f>HYPERLINK("https://www.boe.es/gazeta/dias/1818/03/28/pdfs/GMD-1818-38.pdf#page=5","Abrir facsímil")</f>
        <v>Abrir facsímil</v>
      </c>
      <c r="K1277" s="3" t="s">
        <v>38</v>
      </c>
    </row>
    <row r="1278" spans="1:11" ht="42" customHeight="1">
      <c r="A1278" s="2" t="s">
        <v>3244</v>
      </c>
      <c r="B1278" s="2" t="s">
        <v>3244</v>
      </c>
      <c r="C1278" s="2" t="s">
        <v>17</v>
      </c>
      <c r="D1278" s="2" t="s">
        <v>18</v>
      </c>
      <c r="E1278" s="5">
        <v>-29817</v>
      </c>
      <c r="F1278" s="3" t="s">
        <v>284</v>
      </c>
      <c r="G1278" s="3" t="s">
        <v>45</v>
      </c>
      <c r="H1278" s="2" t="s">
        <v>36</v>
      </c>
      <c r="I1278" s="2" t="s">
        <v>3246</v>
      </c>
      <c r="J1278" s="3" t="str">
        <f>HYPERLINK("https://www.boe.es/gazeta/dias/1818/05/12/pdfs/GMD-1818-57.pdf#page=8","Abrir facsímil")</f>
        <v>Abrir facsímil</v>
      </c>
      <c r="K1278" s="3" t="s">
        <v>38</v>
      </c>
    </row>
    <row r="1279" spans="1:11" ht="42" customHeight="1">
      <c r="A1279" s="2" t="s">
        <v>3244</v>
      </c>
      <c r="B1279" s="2" t="s">
        <v>3244</v>
      </c>
      <c r="C1279" s="2" t="s">
        <v>17</v>
      </c>
      <c r="D1279" s="2" t="s">
        <v>18</v>
      </c>
      <c r="E1279" s="5">
        <v>-29801</v>
      </c>
      <c r="F1279" s="3" t="s">
        <v>288</v>
      </c>
      <c r="G1279" s="3" t="s">
        <v>20</v>
      </c>
      <c r="H1279" s="2" t="s">
        <v>36</v>
      </c>
      <c r="I1279" s="2" t="s">
        <v>3247</v>
      </c>
      <c r="J1279" s="3" t="str">
        <f>HYPERLINK("https://www.boe.es/gazeta/dias/1818/05/28/pdfs/GMD-1818-64.pdf#page=7","Abrir facsímil")</f>
        <v>Abrir facsímil</v>
      </c>
      <c r="K1279" s="3" t="s">
        <v>38</v>
      </c>
    </row>
    <row r="1280" spans="1:11" ht="42" customHeight="1">
      <c r="A1280" s="2" t="s">
        <v>3248</v>
      </c>
      <c r="B1280" s="2" t="s">
        <v>3249</v>
      </c>
      <c r="C1280" s="2" t="s">
        <v>913</v>
      </c>
      <c r="D1280" s="2" t="s">
        <v>69</v>
      </c>
      <c r="E1280" s="5">
        <v>-29661</v>
      </c>
      <c r="F1280" s="3" t="s">
        <v>348</v>
      </c>
      <c r="G1280" s="3" t="s">
        <v>2123</v>
      </c>
      <c r="H1280" s="2" t="s">
        <v>21</v>
      </c>
      <c r="I1280" s="2" t="s">
        <v>3250</v>
      </c>
      <c r="J1280" s="3" t="str">
        <f>HYPERLINK("https://www.boe.es/gazeta/dias/1818/10/15/pdfs/GMD-1818-124.pdf#page=5","Abrir facsímil")</f>
        <v>Abrir facsímil</v>
      </c>
      <c r="K1280" s="3" t="s">
        <v>23</v>
      </c>
    </row>
    <row r="1281" spans="1:11" ht="42" customHeight="1">
      <c r="A1281" s="2" t="s">
        <v>3251</v>
      </c>
      <c r="B1281" s="2" t="s">
        <v>3252</v>
      </c>
      <c r="C1281" s="2" t="s">
        <v>68</v>
      </c>
      <c r="D1281" s="2" t="s">
        <v>69</v>
      </c>
      <c r="E1281" s="5">
        <v>-29934</v>
      </c>
      <c r="F1281" s="3" t="s">
        <v>53</v>
      </c>
      <c r="G1281" s="3" t="s">
        <v>45</v>
      </c>
      <c r="H1281" s="2" t="s">
        <v>36</v>
      </c>
      <c r="I1281" s="2" t="s">
        <v>3253</v>
      </c>
      <c r="J1281" s="3" t="str">
        <f>HYPERLINK("https://www.boe.es/gazeta/dias/1818/01/15/pdfs/GMD-1818-7.pdf#page=8","Abrir facsímil")</f>
        <v>Abrir facsímil</v>
      </c>
      <c r="K1281" s="3" t="s">
        <v>38</v>
      </c>
    </row>
    <row r="1282" spans="1:11" ht="42" customHeight="1">
      <c r="A1282" s="2" t="s">
        <v>3254</v>
      </c>
      <c r="B1282" s="2" t="s">
        <v>3255</v>
      </c>
      <c r="C1282" s="2" t="s">
        <v>68</v>
      </c>
      <c r="D1282" s="2" t="s">
        <v>69</v>
      </c>
      <c r="E1282" s="5">
        <v>-29934</v>
      </c>
      <c r="F1282" s="3" t="s">
        <v>53</v>
      </c>
      <c r="G1282" s="3" t="s">
        <v>45</v>
      </c>
      <c r="H1282" s="2" t="s">
        <v>36</v>
      </c>
      <c r="I1282" s="2" t="s">
        <v>3256</v>
      </c>
      <c r="J1282" s="3" t="str">
        <f>HYPERLINK("https://www.boe.es/gazeta/dias/1818/01/15/pdfs/GMD-1818-7.pdf#page=8","Abrir facsímil")</f>
        <v>Abrir facsímil</v>
      </c>
      <c r="K1282" s="3" t="s">
        <v>38</v>
      </c>
    </row>
    <row r="1283" spans="1:11" ht="42" customHeight="1">
      <c r="A1283" s="2" t="s">
        <v>3257</v>
      </c>
      <c r="B1283" s="2" t="s">
        <v>3258</v>
      </c>
      <c r="C1283" s="2" t="s">
        <v>68</v>
      </c>
      <c r="D1283" s="2" t="s">
        <v>69</v>
      </c>
      <c r="E1283" s="5">
        <v>-29656</v>
      </c>
      <c r="F1283" s="3" t="s">
        <v>601</v>
      </c>
      <c r="G1283" s="3" t="s">
        <v>45</v>
      </c>
      <c r="H1283" s="2" t="s">
        <v>36</v>
      </c>
      <c r="I1283" s="2" t="s">
        <v>3259</v>
      </c>
      <c r="J1283" s="3" t="str">
        <f>HYPERLINK("https://www.boe.es/gazeta/dias/1818/10/20/pdfs/GMD-1818-127.pdf#page=8","Abrir facsímil")</f>
        <v>Abrir facsímil</v>
      </c>
      <c r="K1283" s="3" t="s">
        <v>38</v>
      </c>
    </row>
    <row r="1284" spans="1:11" ht="42" customHeight="1">
      <c r="A1284" s="2" t="s">
        <v>3260</v>
      </c>
      <c r="B1284" s="2" t="s">
        <v>3261</v>
      </c>
      <c r="C1284" s="2" t="s">
        <v>17</v>
      </c>
      <c r="D1284" s="2" t="s">
        <v>18</v>
      </c>
      <c r="E1284" s="5">
        <v>-29631</v>
      </c>
      <c r="F1284" s="3" t="s">
        <v>743</v>
      </c>
      <c r="G1284" s="3" t="s">
        <v>2819</v>
      </c>
      <c r="H1284" s="2" t="s">
        <v>36</v>
      </c>
      <c r="I1284" s="2" t="s">
        <v>3262</v>
      </c>
      <c r="J1284" s="3" t="str">
        <f>HYPERLINK("https://www.boe.es/gazeta/dias/1818/11/14/pdfs/GMD-1818-138.pdf#page=2","Abrir facsímil")</f>
        <v>Abrir facsímil</v>
      </c>
      <c r="K1284" s="3" t="s">
        <v>38</v>
      </c>
    </row>
    <row r="1285" spans="1:11" ht="42" customHeight="1">
      <c r="A1285" s="2" t="s">
        <v>3263</v>
      </c>
      <c r="B1285" s="2" t="s">
        <v>3263</v>
      </c>
      <c r="C1285" s="2" t="s">
        <v>26</v>
      </c>
      <c r="D1285" s="2" t="s">
        <v>27</v>
      </c>
      <c r="E1285" s="5">
        <v>-29694</v>
      </c>
      <c r="F1285" s="3" t="s">
        <v>528</v>
      </c>
      <c r="G1285" s="3" t="s">
        <v>2975</v>
      </c>
      <c r="H1285" s="2" t="s">
        <v>36</v>
      </c>
      <c r="I1285" s="2" t="s">
        <v>3264</v>
      </c>
      <c r="J1285" s="3" t="str">
        <f>HYPERLINK("https://www.boe.es/gazeta/dias/1818/09/12/pdfs/GMD-1818-110.pdf#page=2","Abrir facsímil")</f>
        <v>Abrir facsímil</v>
      </c>
      <c r="K1285" s="3" t="s">
        <v>38</v>
      </c>
    </row>
    <row r="1286" spans="1:11" ht="42" customHeight="1">
      <c r="A1286" s="2" t="s">
        <v>3265</v>
      </c>
      <c r="B1286" s="2" t="s">
        <v>3266</v>
      </c>
      <c r="C1286" s="2" t="s">
        <v>26</v>
      </c>
      <c r="D1286" s="2" t="s">
        <v>27</v>
      </c>
      <c r="E1286" s="5">
        <v>-29934</v>
      </c>
      <c r="F1286" s="3" t="s">
        <v>53</v>
      </c>
      <c r="G1286" s="3" t="s">
        <v>59</v>
      </c>
      <c r="H1286" s="2" t="s">
        <v>36</v>
      </c>
      <c r="I1286" s="2" t="s">
        <v>3267</v>
      </c>
      <c r="J1286" s="3" t="str">
        <f>HYPERLINK("https://www.boe.es/gazeta/dias/1818/01/15/pdfs/GMD-1818-7.pdf#page=6","Abrir facsímil")</f>
        <v>Abrir facsímil</v>
      </c>
      <c r="K1286" s="3" t="s">
        <v>38</v>
      </c>
    </row>
    <row r="1287" spans="1:11" ht="42" customHeight="1">
      <c r="A1287" s="2" t="s">
        <v>3268</v>
      </c>
      <c r="B1287" s="2" t="s">
        <v>3269</v>
      </c>
      <c r="C1287" s="2" t="s">
        <v>26</v>
      </c>
      <c r="D1287" s="2" t="s">
        <v>27</v>
      </c>
      <c r="E1287" s="5">
        <v>-29936</v>
      </c>
      <c r="F1287" s="3" t="s">
        <v>398</v>
      </c>
      <c r="G1287" s="3" t="s">
        <v>29</v>
      </c>
      <c r="H1287" s="2" t="s">
        <v>36</v>
      </c>
      <c r="I1287" s="2" t="s">
        <v>3270</v>
      </c>
      <c r="J1287" s="3" t="str">
        <f>HYPERLINK("https://www.boe.es/gazeta/dias/1818/01/13/pdfs/GMD-1818-6.pdf#page=4","Abrir facsímil")</f>
        <v>Abrir facsímil</v>
      </c>
      <c r="K1287" s="3" t="s">
        <v>38</v>
      </c>
    </row>
    <row r="1288" spans="1:11" ht="42" customHeight="1">
      <c r="A1288" s="2" t="s">
        <v>3268</v>
      </c>
      <c r="B1288" s="2" t="s">
        <v>3269</v>
      </c>
      <c r="C1288" s="2" t="s">
        <v>26</v>
      </c>
      <c r="D1288" s="2" t="s">
        <v>27</v>
      </c>
      <c r="E1288" s="5">
        <v>-29705</v>
      </c>
      <c r="F1288" s="3" t="s">
        <v>680</v>
      </c>
      <c r="G1288" s="3" t="s">
        <v>29</v>
      </c>
      <c r="H1288" s="2" t="s">
        <v>36</v>
      </c>
      <c r="I1288" s="2" t="s">
        <v>3271</v>
      </c>
      <c r="J1288" s="3" t="str">
        <f>HYPERLINK("https://www.boe.es/gazeta/dias/1818/09/01/pdfs/GMD-1818-105.pdf#page=4","Abrir facsímil")</f>
        <v>Abrir facsímil</v>
      </c>
      <c r="K1288" s="3" t="s">
        <v>38</v>
      </c>
    </row>
    <row r="1289" spans="1:11" ht="42" customHeight="1">
      <c r="A1289" s="2" t="s">
        <v>3272</v>
      </c>
      <c r="B1289" s="2" t="s">
        <v>3273</v>
      </c>
      <c r="C1289" s="2" t="s">
        <v>63</v>
      </c>
      <c r="D1289" s="2" t="s">
        <v>18</v>
      </c>
      <c r="E1289" s="5">
        <v>-29617</v>
      </c>
      <c r="F1289" s="3" t="s">
        <v>995</v>
      </c>
      <c r="G1289" s="3" t="s">
        <v>45</v>
      </c>
      <c r="H1289" s="2" t="s">
        <v>36</v>
      </c>
      <c r="I1289" s="2" t="s">
        <v>3274</v>
      </c>
      <c r="J1289" s="3" t="str">
        <f>HYPERLINK("https://www.boe.es/gazeta/dias/1818/11/28/pdfs/GMD-1818-144.pdf#page=8","Abrir facsímil")</f>
        <v>Abrir facsímil</v>
      </c>
      <c r="K1289" s="3" t="s">
        <v>38</v>
      </c>
    </row>
    <row r="1290" spans="1:11" ht="42" customHeight="1">
      <c r="A1290" s="2" t="s">
        <v>3275</v>
      </c>
      <c r="B1290" s="2" t="s">
        <v>3276</v>
      </c>
      <c r="C1290" s="2" t="s">
        <v>26</v>
      </c>
      <c r="D1290" s="2" t="s">
        <v>27</v>
      </c>
      <c r="E1290" s="5">
        <v>-29677</v>
      </c>
      <c r="F1290" s="3" t="s">
        <v>157</v>
      </c>
      <c r="G1290" s="3" t="s">
        <v>20</v>
      </c>
      <c r="H1290" s="2" t="s">
        <v>36</v>
      </c>
      <c r="I1290" s="2" t="s">
        <v>3277</v>
      </c>
      <c r="J1290" s="3" t="str">
        <f>HYPERLINK("https://www.boe.es/gazeta/dias/1818/09/29/pdfs/GMD-1818-117.pdf#page=7","Abrir facsímil")</f>
        <v>Abrir facsímil</v>
      </c>
      <c r="K1290" s="3" t="s">
        <v>38</v>
      </c>
    </row>
    <row r="1291" spans="1:11" ht="42" customHeight="1">
      <c r="A1291" s="2" t="s">
        <v>3278</v>
      </c>
      <c r="B1291" s="2" t="s">
        <v>3279</v>
      </c>
      <c r="C1291" s="2" t="s">
        <v>26</v>
      </c>
      <c r="D1291" s="2" t="s">
        <v>27</v>
      </c>
      <c r="E1291" s="5">
        <v>-29761</v>
      </c>
      <c r="F1291" s="3" t="s">
        <v>168</v>
      </c>
      <c r="G1291" s="3" t="s">
        <v>20</v>
      </c>
      <c r="H1291" s="2" t="s">
        <v>36</v>
      </c>
      <c r="I1291" s="2" t="s">
        <v>3280</v>
      </c>
      <c r="J1291" s="3" t="str">
        <f>HYPERLINK("https://www.boe.es/gazeta/dias/1818/07/07/pdfs/GMD-1818-81.pdf#page=7","Abrir facsímil")</f>
        <v>Abrir facsímil</v>
      </c>
      <c r="K1291" s="3" t="s">
        <v>38</v>
      </c>
    </row>
    <row r="1292" spans="1:11" ht="42" customHeight="1">
      <c r="A1292" s="2" t="s">
        <v>3281</v>
      </c>
      <c r="B1292" s="2" t="s">
        <v>3282</v>
      </c>
      <c r="C1292" s="2" t="s">
        <v>17</v>
      </c>
      <c r="D1292" s="2" t="s">
        <v>18</v>
      </c>
      <c r="E1292" s="5">
        <v>-29698</v>
      </c>
      <c r="F1292" s="3" t="s">
        <v>148</v>
      </c>
      <c r="G1292" s="3" t="s">
        <v>29</v>
      </c>
      <c r="H1292" s="2" t="s">
        <v>36</v>
      </c>
      <c r="I1292" s="2" t="s">
        <v>3283</v>
      </c>
      <c r="J1292" s="3" t="str">
        <f>HYPERLINK("https://www.boe.es/gazeta/dias/1818/09/08/pdfs/GMD-1818-108.pdf#page=4","Abrir facsímil")</f>
        <v>Abrir facsímil</v>
      </c>
      <c r="K1292" s="3" t="s">
        <v>38</v>
      </c>
    </row>
    <row r="1293" spans="1:11" ht="42" customHeight="1">
      <c r="A1293" s="2" t="s">
        <v>3284</v>
      </c>
      <c r="B1293" s="2" t="s">
        <v>3285</v>
      </c>
      <c r="C1293" s="2" t="s">
        <v>26</v>
      </c>
      <c r="D1293" s="2" t="s">
        <v>27</v>
      </c>
      <c r="E1293" s="5">
        <v>-29698</v>
      </c>
      <c r="F1293" s="3" t="s">
        <v>148</v>
      </c>
      <c r="G1293" s="3" t="s">
        <v>29</v>
      </c>
      <c r="H1293" s="2" t="s">
        <v>36</v>
      </c>
      <c r="I1293" s="2" t="s">
        <v>3286</v>
      </c>
      <c r="J1293" s="3" t="str">
        <f>HYPERLINK("https://www.boe.es/gazeta/dias/1818/09/08/pdfs/GMD-1818-108.pdf#page=4","Abrir facsímil")</f>
        <v>Abrir facsímil</v>
      </c>
      <c r="K1293" s="3" t="s">
        <v>38</v>
      </c>
    </row>
    <row r="1294" spans="1:11" ht="42" customHeight="1">
      <c r="A1294" s="2" t="s">
        <v>3287</v>
      </c>
      <c r="B1294" s="2" t="s">
        <v>3287</v>
      </c>
      <c r="C1294" s="2" t="s">
        <v>26</v>
      </c>
      <c r="D1294" s="2" t="s">
        <v>27</v>
      </c>
      <c r="E1294" s="5">
        <v>-29624</v>
      </c>
      <c r="F1294" s="3" t="s">
        <v>131</v>
      </c>
      <c r="G1294" s="3" t="s">
        <v>1230</v>
      </c>
      <c r="H1294" s="2" t="s">
        <v>36</v>
      </c>
      <c r="I1294" s="2" t="s">
        <v>3288</v>
      </c>
      <c r="J1294" s="3" t="str">
        <f>HYPERLINK("https://www.boe.es/gazeta/dias/1818/11/21/pdfs/GMD-1818-141.pdf#page=6","Abrir facsímil")</f>
        <v>Abrir facsímil</v>
      </c>
      <c r="K1294" s="3" t="s">
        <v>38</v>
      </c>
    </row>
    <row r="1295" spans="1:11" ht="42" customHeight="1">
      <c r="A1295" s="2" t="s">
        <v>3289</v>
      </c>
      <c r="B1295" s="2" t="s">
        <v>3290</v>
      </c>
      <c r="C1295" s="2" t="s">
        <v>26</v>
      </c>
      <c r="D1295" s="2" t="s">
        <v>27</v>
      </c>
      <c r="E1295" s="5">
        <v>-29689</v>
      </c>
      <c r="F1295" s="3" t="s">
        <v>303</v>
      </c>
      <c r="G1295" s="3" t="s">
        <v>20</v>
      </c>
      <c r="H1295" s="2" t="s">
        <v>36</v>
      </c>
      <c r="I1295" s="2" t="s">
        <v>3291</v>
      </c>
      <c r="J1295" s="3" t="str">
        <f>HYPERLINK("https://www.boe.es/gazeta/dias/1818/09/17/pdfs/GMD-1818-112.pdf#page=7","Abrir facsímil")</f>
        <v>Abrir facsímil</v>
      </c>
      <c r="K1295" s="3" t="s">
        <v>38</v>
      </c>
    </row>
    <row r="1296" spans="1:11" ht="42" customHeight="1">
      <c r="A1296" s="2" t="s">
        <v>3292</v>
      </c>
      <c r="B1296" s="2" t="s">
        <v>3293</v>
      </c>
      <c r="C1296" s="2" t="s">
        <v>68</v>
      </c>
      <c r="D1296" s="2" t="s">
        <v>69</v>
      </c>
      <c r="E1296" s="5">
        <v>-29936</v>
      </c>
      <c r="F1296" s="3" t="s">
        <v>398</v>
      </c>
      <c r="G1296" s="3" t="s">
        <v>20</v>
      </c>
      <c r="H1296" s="2" t="s">
        <v>36</v>
      </c>
      <c r="I1296" s="2" t="s">
        <v>3294</v>
      </c>
      <c r="J1296" s="3" t="str">
        <f>HYPERLINK("https://www.boe.es/gazeta/dias/1818/01/13/pdfs/GMD-1818-6.pdf#page=7","Abrir facsímil")</f>
        <v>Abrir facsímil</v>
      </c>
      <c r="K1296" s="3" t="s">
        <v>38</v>
      </c>
    </row>
    <row r="1297" spans="1:11" ht="42" customHeight="1">
      <c r="A1297" s="2" t="s">
        <v>3295</v>
      </c>
      <c r="B1297" s="2" t="s">
        <v>3296</v>
      </c>
      <c r="C1297" s="2" t="s">
        <v>63</v>
      </c>
      <c r="D1297" s="2" t="s">
        <v>18</v>
      </c>
      <c r="E1297" s="5">
        <v>-29701</v>
      </c>
      <c r="F1297" s="3" t="s">
        <v>596</v>
      </c>
      <c r="G1297" s="3" t="s">
        <v>59</v>
      </c>
      <c r="H1297" s="2" t="s">
        <v>36</v>
      </c>
      <c r="I1297" s="2" t="s">
        <v>3297</v>
      </c>
      <c r="J1297" s="3" t="str">
        <f>HYPERLINK("https://www.boe.es/gazeta/dias/1818/09/05/pdfs/GMD-1818-107.pdf#page=6","Abrir facsímil")</f>
        <v>Abrir facsímil</v>
      </c>
      <c r="K1297" s="3" t="s">
        <v>38</v>
      </c>
    </row>
    <row r="1298" spans="1:11" ht="42" customHeight="1">
      <c r="A1298" s="2" t="s">
        <v>3298</v>
      </c>
      <c r="B1298" s="2" t="s">
        <v>3299</v>
      </c>
      <c r="C1298" s="2" t="s">
        <v>68</v>
      </c>
      <c r="D1298" s="2" t="s">
        <v>69</v>
      </c>
      <c r="E1298" s="5">
        <v>-29871</v>
      </c>
      <c r="F1298" s="3" t="s">
        <v>641</v>
      </c>
      <c r="G1298" s="3" t="s">
        <v>45</v>
      </c>
      <c r="H1298" s="2" t="s">
        <v>36</v>
      </c>
      <c r="I1298" s="2" t="s">
        <v>3300</v>
      </c>
      <c r="J1298" s="3" t="str">
        <f>HYPERLINK("https://www.boe.es/gazeta/dias/1818/03/19/pdfs/GMD-1818-34.pdf#page=8","Abrir facsímil")</f>
        <v>Abrir facsímil</v>
      </c>
      <c r="K1298" s="3" t="s">
        <v>38</v>
      </c>
    </row>
    <row r="1299" spans="1:11" ht="42" customHeight="1">
      <c r="A1299" s="2" t="s">
        <v>3301</v>
      </c>
      <c r="B1299" s="2" t="s">
        <v>3302</v>
      </c>
      <c r="C1299" s="2" t="s">
        <v>33</v>
      </c>
      <c r="D1299" s="2" t="s">
        <v>18</v>
      </c>
      <c r="E1299" s="5">
        <v>-29932</v>
      </c>
      <c r="F1299" s="3" t="s">
        <v>34</v>
      </c>
      <c r="G1299" s="3" t="s">
        <v>35</v>
      </c>
      <c r="H1299" s="2" t="s">
        <v>36</v>
      </c>
      <c r="I1299" s="2" t="s">
        <v>3303</v>
      </c>
      <c r="J1299" s="3" t="str">
        <f>HYPERLINK("https://www.boe.es/gazeta/dias/1818/01/17/pdfs/GMD-1818-8.pdf#page=8","Abrir facsímil")</f>
        <v>Abrir facsímil</v>
      </c>
      <c r="K1299" s="3" t="s">
        <v>38</v>
      </c>
    </row>
    <row r="1300" spans="1:11" ht="42" customHeight="1">
      <c r="A1300" s="2" t="s">
        <v>3301</v>
      </c>
      <c r="B1300" s="2" t="s">
        <v>3302</v>
      </c>
      <c r="C1300" s="2" t="s">
        <v>33</v>
      </c>
      <c r="D1300" s="2" t="s">
        <v>18</v>
      </c>
      <c r="E1300" s="5">
        <v>-29892</v>
      </c>
      <c r="F1300" s="3" t="s">
        <v>39</v>
      </c>
      <c r="G1300" s="3" t="s">
        <v>40</v>
      </c>
      <c r="H1300" s="2" t="s">
        <v>36</v>
      </c>
      <c r="I1300" s="2" t="s">
        <v>3304</v>
      </c>
      <c r="J1300" s="3" t="str">
        <f>HYPERLINK("https://www.boe.es/gazeta/dias/1818/02/26/pdfs/GMD-1818-25.pdf#page=8","Abrir facsímil")</f>
        <v>Abrir facsímil</v>
      </c>
      <c r="K1300" s="3" t="s">
        <v>38</v>
      </c>
    </row>
    <row r="1301" spans="1:11" ht="42" customHeight="1">
      <c r="A1301" s="2" t="s">
        <v>3305</v>
      </c>
      <c r="B1301" s="2" t="s">
        <v>3306</v>
      </c>
      <c r="C1301" s="2" t="s">
        <v>26</v>
      </c>
      <c r="D1301" s="2" t="s">
        <v>27</v>
      </c>
      <c r="E1301" s="5">
        <v>-29591</v>
      </c>
      <c r="F1301" s="3" t="s">
        <v>1414</v>
      </c>
      <c r="G1301" s="3" t="s">
        <v>106</v>
      </c>
      <c r="H1301" s="2" t="s">
        <v>36</v>
      </c>
      <c r="I1301" s="2" t="s">
        <v>3307</v>
      </c>
      <c r="J1301" s="3" t="str">
        <f>HYPERLINK("https://www.boe.es/gazeta/dias/1818/12/24/pdfs/GMD-1818-155.pdf#page=5","Abrir facsímil")</f>
        <v>Abrir facsímil</v>
      </c>
      <c r="K1301" s="3" t="s">
        <v>38</v>
      </c>
    </row>
    <row r="1302" spans="1:11" ht="42" customHeight="1">
      <c r="A1302" s="2" t="s">
        <v>3308</v>
      </c>
      <c r="B1302" s="2" t="s">
        <v>3309</v>
      </c>
      <c r="C1302" s="2" t="s">
        <v>26</v>
      </c>
      <c r="D1302" s="2" t="s">
        <v>27</v>
      </c>
      <c r="E1302" s="5">
        <v>-29591</v>
      </c>
      <c r="F1302" s="3" t="s">
        <v>1414</v>
      </c>
      <c r="G1302" s="3" t="s">
        <v>106</v>
      </c>
      <c r="H1302" s="2" t="s">
        <v>36</v>
      </c>
      <c r="I1302" s="2" t="s">
        <v>3310</v>
      </c>
      <c r="J1302" s="3" t="str">
        <f>HYPERLINK("https://www.boe.es/gazeta/dias/1818/12/24/pdfs/GMD-1818-155.pdf#page=5","Abrir facsímil")</f>
        <v>Abrir facsímil</v>
      </c>
      <c r="K1302" s="3" t="s">
        <v>38</v>
      </c>
    </row>
    <row r="1303" spans="1:11" ht="42" customHeight="1">
      <c r="A1303" s="2" t="s">
        <v>3311</v>
      </c>
      <c r="B1303" s="2" t="s">
        <v>3312</v>
      </c>
      <c r="C1303" s="2" t="s">
        <v>63</v>
      </c>
      <c r="D1303" s="2" t="s">
        <v>18</v>
      </c>
      <c r="E1303" s="5">
        <v>-29915</v>
      </c>
      <c r="F1303" s="3" t="s">
        <v>429</v>
      </c>
      <c r="G1303" s="3" t="s">
        <v>45</v>
      </c>
      <c r="H1303" s="2" t="s">
        <v>36</v>
      </c>
      <c r="I1303" s="2" t="s">
        <v>3313</v>
      </c>
      <c r="J1303" s="3" t="str">
        <f>HYPERLINK("https://www.boe.es/gazeta/dias/1818/02/03/pdfs/GMD-1818-15.pdf#page=8","Abrir facsímil")</f>
        <v>Abrir facsímil</v>
      </c>
      <c r="K1303" s="3" t="s">
        <v>38</v>
      </c>
    </row>
    <row r="1304" spans="1:11" ht="42" customHeight="1">
      <c r="A1304" s="2" t="s">
        <v>3314</v>
      </c>
      <c r="B1304" s="2" t="s">
        <v>3315</v>
      </c>
      <c r="C1304" s="2" t="s">
        <v>26</v>
      </c>
      <c r="D1304" s="2" t="s">
        <v>27</v>
      </c>
      <c r="E1304" s="5">
        <v>-29857</v>
      </c>
      <c r="F1304" s="3" t="s">
        <v>831</v>
      </c>
      <c r="G1304" s="3" t="s">
        <v>59</v>
      </c>
      <c r="H1304" s="2" t="s">
        <v>36</v>
      </c>
      <c r="I1304" s="2" t="s">
        <v>3316</v>
      </c>
      <c r="J1304" s="3" t="str">
        <f>HYPERLINK("https://www.boe.es/gazeta/dias/1818/04/02/pdfs/GMD-1818-40.pdf#page=6","Abrir facsímil")</f>
        <v>Abrir facsímil</v>
      </c>
      <c r="K1304" s="3" t="s">
        <v>38</v>
      </c>
    </row>
    <row r="1305" spans="1:11" ht="42" customHeight="1">
      <c r="A1305" s="2" t="s">
        <v>3317</v>
      </c>
      <c r="B1305" s="2" t="s">
        <v>3318</v>
      </c>
      <c r="C1305" s="2" t="s">
        <v>26</v>
      </c>
      <c r="D1305" s="2" t="s">
        <v>27</v>
      </c>
      <c r="E1305" s="5">
        <v>-29913</v>
      </c>
      <c r="F1305" s="3" t="s">
        <v>449</v>
      </c>
      <c r="G1305" s="3" t="s">
        <v>45</v>
      </c>
      <c r="H1305" s="2" t="s">
        <v>36</v>
      </c>
      <c r="I1305" s="2" t="s">
        <v>3319</v>
      </c>
      <c r="J1305" s="3" t="str">
        <f>HYPERLINK("https://www.boe.es/gazeta/dias/1818/02/05/pdfs/GMD-1818-16.pdf#page=8","Abrir facsímil")</f>
        <v>Abrir facsímil</v>
      </c>
      <c r="K1305" s="3" t="s">
        <v>38</v>
      </c>
    </row>
    <row r="1306" spans="1:11" ht="42" customHeight="1">
      <c r="A1306" s="2" t="s">
        <v>3320</v>
      </c>
      <c r="B1306" s="2" t="s">
        <v>3320</v>
      </c>
      <c r="C1306" s="2" t="s">
        <v>26</v>
      </c>
      <c r="D1306" s="2" t="s">
        <v>27</v>
      </c>
      <c r="E1306" s="5">
        <v>-29670</v>
      </c>
      <c r="F1306" s="3" t="s">
        <v>48</v>
      </c>
      <c r="G1306" s="3" t="s">
        <v>49</v>
      </c>
      <c r="H1306" s="2" t="s">
        <v>36</v>
      </c>
      <c r="I1306" s="2" t="s">
        <v>3321</v>
      </c>
      <c r="J1306" s="3" t="str">
        <f>HYPERLINK("https://www.boe.es/gazeta/dias/1818/10/06/pdfs/GMD-1818-120.pdf#page=1","Abrir facsímil")</f>
        <v>Abrir facsímil</v>
      </c>
      <c r="K1306" s="3" t="s">
        <v>38</v>
      </c>
    </row>
    <row r="1307" spans="1:11" ht="42" customHeight="1">
      <c r="A1307" s="2" t="s">
        <v>3320</v>
      </c>
      <c r="B1307" s="2" t="s">
        <v>3320</v>
      </c>
      <c r="C1307" s="2" t="s">
        <v>215</v>
      </c>
      <c r="D1307" s="2" t="s">
        <v>18</v>
      </c>
      <c r="E1307" s="5">
        <v>-29670</v>
      </c>
      <c r="F1307" s="3" t="s">
        <v>48</v>
      </c>
      <c r="G1307" s="3" t="s">
        <v>120</v>
      </c>
      <c r="H1307" s="2" t="s">
        <v>36</v>
      </c>
      <c r="I1307" s="2" t="s">
        <v>3322</v>
      </c>
      <c r="J1307" s="3" t="str">
        <f>HYPERLINK("https://www.boe.es/gazeta/dias/1818/10/06/pdfs/GMD-1818-120.pdf#page=2","Abrir facsímil")</f>
        <v>Abrir facsímil</v>
      </c>
      <c r="K1307" s="3" t="s">
        <v>38</v>
      </c>
    </row>
    <row r="1308" spans="1:11" ht="42" customHeight="1">
      <c r="A1308" s="2" t="s">
        <v>3323</v>
      </c>
      <c r="B1308" s="2" t="s">
        <v>3324</v>
      </c>
      <c r="C1308" s="2" t="s">
        <v>26</v>
      </c>
      <c r="D1308" s="2" t="s">
        <v>27</v>
      </c>
      <c r="E1308" s="5">
        <v>-29857</v>
      </c>
      <c r="F1308" s="3" t="s">
        <v>831</v>
      </c>
      <c r="G1308" s="3" t="s">
        <v>59</v>
      </c>
      <c r="H1308" s="2" t="s">
        <v>36</v>
      </c>
      <c r="I1308" s="2" t="s">
        <v>3325</v>
      </c>
      <c r="J1308" s="3" t="str">
        <f>HYPERLINK("https://www.boe.es/gazeta/dias/1818/04/02/pdfs/GMD-1818-40.pdf#page=6","Abrir facsímil")</f>
        <v>Abrir facsímil</v>
      </c>
      <c r="K1308" s="3" t="s">
        <v>38</v>
      </c>
    </row>
    <row r="1309" spans="1:11" ht="42" customHeight="1">
      <c r="A1309" s="2" t="s">
        <v>3326</v>
      </c>
      <c r="B1309" s="2" t="s">
        <v>3326</v>
      </c>
      <c r="C1309" s="2" t="s">
        <v>26</v>
      </c>
      <c r="D1309" s="2" t="s">
        <v>27</v>
      </c>
      <c r="E1309" s="5">
        <v>-29946</v>
      </c>
      <c r="F1309" s="3" t="s">
        <v>724</v>
      </c>
      <c r="G1309" s="3" t="s">
        <v>20</v>
      </c>
      <c r="H1309" s="2" t="s">
        <v>36</v>
      </c>
      <c r="I1309" s="2" t="s">
        <v>3327</v>
      </c>
      <c r="J1309" s="3" t="str">
        <f>HYPERLINK("https://www.boe.es/gazeta/dias/1818/01/03/pdfs/GMD-1818-2.pdf#page=7","Abrir facsímil")</f>
        <v>Abrir facsímil</v>
      </c>
      <c r="K1309" s="3" t="s">
        <v>38</v>
      </c>
    </row>
    <row r="1310" spans="1:11" ht="42" customHeight="1">
      <c r="A1310" s="2" t="s">
        <v>3328</v>
      </c>
      <c r="B1310" s="2" t="s">
        <v>3329</v>
      </c>
      <c r="C1310" s="2" t="s">
        <v>63</v>
      </c>
      <c r="D1310" s="2" t="s">
        <v>18</v>
      </c>
      <c r="E1310" s="5">
        <v>-29610</v>
      </c>
      <c r="F1310" s="3" t="s">
        <v>1441</v>
      </c>
      <c r="G1310" s="3" t="s">
        <v>45</v>
      </c>
      <c r="H1310" s="2" t="s">
        <v>36</v>
      </c>
      <c r="I1310" s="2" t="s">
        <v>3330</v>
      </c>
      <c r="J1310" s="3" t="str">
        <f>HYPERLINK("https://www.boe.es/gazeta/dias/1818/12/05/pdfs/GMD-1818-147.pdf#page=8","Abrir facsímil")</f>
        <v>Abrir facsímil</v>
      </c>
      <c r="K1310" s="3" t="s">
        <v>38</v>
      </c>
    </row>
    <row r="1311" spans="1:11" ht="42" customHeight="1">
      <c r="A1311" s="2" t="s">
        <v>3331</v>
      </c>
      <c r="B1311" s="2" t="s">
        <v>3332</v>
      </c>
      <c r="C1311" s="2" t="s">
        <v>68</v>
      </c>
      <c r="D1311" s="2" t="s">
        <v>69</v>
      </c>
      <c r="E1311" s="5">
        <v>-29687</v>
      </c>
      <c r="F1311" s="3" t="s">
        <v>686</v>
      </c>
      <c r="G1311" s="3" t="s">
        <v>45</v>
      </c>
      <c r="H1311" s="2" t="s">
        <v>36</v>
      </c>
      <c r="I1311" s="2" t="s">
        <v>3333</v>
      </c>
      <c r="J1311" s="3" t="str">
        <f>HYPERLINK("https://www.boe.es/gazeta/dias/1818/09/19/pdfs/GMD-1818-113.pdf#page=8","Abrir facsímil")</f>
        <v>Abrir facsímil</v>
      </c>
      <c r="K1311" s="3" t="s">
        <v>38</v>
      </c>
    </row>
    <row r="1312" spans="1:11" ht="42" customHeight="1">
      <c r="A1312" s="2" t="s">
        <v>3334</v>
      </c>
      <c r="B1312" s="2" t="s">
        <v>3335</v>
      </c>
      <c r="C1312" s="2" t="s">
        <v>63</v>
      </c>
      <c r="D1312" s="2" t="s">
        <v>18</v>
      </c>
      <c r="E1312" s="5">
        <v>-29824</v>
      </c>
      <c r="F1312" s="3" t="s">
        <v>101</v>
      </c>
      <c r="G1312" s="3" t="s">
        <v>20</v>
      </c>
      <c r="H1312" s="2" t="s">
        <v>36</v>
      </c>
      <c r="I1312" s="2" t="s">
        <v>3336</v>
      </c>
      <c r="J1312" s="3" t="str">
        <f>HYPERLINK("https://www.boe.es/gazeta/dias/1818/05/05/pdfs/GMD-1818-54.pdf#page=7","Abrir facsímil")</f>
        <v>Abrir facsímil</v>
      </c>
      <c r="K1312" s="3" t="s">
        <v>38</v>
      </c>
    </row>
    <row r="1313" spans="1:11" ht="42" customHeight="1">
      <c r="A1313" s="2" t="s">
        <v>3337</v>
      </c>
      <c r="B1313" s="2" t="s">
        <v>3338</v>
      </c>
      <c r="C1313" s="2" t="s">
        <v>17</v>
      </c>
      <c r="D1313" s="2" t="s">
        <v>18</v>
      </c>
      <c r="E1313" s="5">
        <v>-29897</v>
      </c>
      <c r="F1313" s="3" t="s">
        <v>318</v>
      </c>
      <c r="G1313" s="3" t="s">
        <v>59</v>
      </c>
      <c r="H1313" s="2" t="s">
        <v>36</v>
      </c>
      <c r="I1313" s="2" t="s">
        <v>3339</v>
      </c>
      <c r="J1313" s="3" t="str">
        <f>HYPERLINK("https://www.boe.es/gazeta/dias/1818/02/21/pdfs/GMD-1818-23.pdf#page=6","Abrir facsímil")</f>
        <v>Abrir facsímil</v>
      </c>
      <c r="K1313" s="3" t="s">
        <v>38</v>
      </c>
    </row>
    <row r="1314" spans="1:11" ht="42" customHeight="1">
      <c r="A1314" s="2" t="s">
        <v>3337</v>
      </c>
      <c r="B1314" s="2" t="s">
        <v>3338</v>
      </c>
      <c r="C1314" s="2" t="s">
        <v>57</v>
      </c>
      <c r="D1314" s="2" t="s">
        <v>18</v>
      </c>
      <c r="E1314" s="5">
        <v>-29897</v>
      </c>
      <c r="F1314" s="3" t="s">
        <v>318</v>
      </c>
      <c r="G1314" s="3" t="s">
        <v>20</v>
      </c>
      <c r="H1314" s="2" t="s">
        <v>36</v>
      </c>
      <c r="I1314" s="2" t="s">
        <v>3340</v>
      </c>
      <c r="J1314" s="3" t="str">
        <f>HYPERLINK("https://www.boe.es/gazeta/dias/1818/02/21/pdfs/GMD-1818-23.pdf#page=7","Abrir facsímil")</f>
        <v>Abrir facsímil</v>
      </c>
      <c r="K1314" s="3" t="s">
        <v>38</v>
      </c>
    </row>
    <row r="1315" spans="1:11" ht="42" customHeight="1">
      <c r="A1315" s="2" t="s">
        <v>3341</v>
      </c>
      <c r="B1315" s="2" t="s">
        <v>3342</v>
      </c>
      <c r="C1315" s="2" t="s">
        <v>26</v>
      </c>
      <c r="D1315" s="2" t="s">
        <v>27</v>
      </c>
      <c r="E1315" s="5">
        <v>-29852</v>
      </c>
      <c r="F1315" s="3" t="s">
        <v>327</v>
      </c>
      <c r="G1315" s="3" t="s">
        <v>106</v>
      </c>
      <c r="H1315" s="2" t="s">
        <v>36</v>
      </c>
      <c r="I1315" s="2" t="s">
        <v>3343</v>
      </c>
      <c r="J1315" s="3" t="str">
        <f>HYPERLINK("https://www.boe.es/gazeta/dias/1818/04/07/pdfs/GMD-1818-42.pdf#page=5","Abrir facsímil")</f>
        <v>Abrir facsímil</v>
      </c>
      <c r="K1315" s="3" t="s">
        <v>38</v>
      </c>
    </row>
    <row r="1316" spans="1:11" ht="42" customHeight="1">
      <c r="A1316" s="2" t="s">
        <v>3341</v>
      </c>
      <c r="B1316" s="2" t="s">
        <v>3342</v>
      </c>
      <c r="C1316" s="2" t="s">
        <v>26</v>
      </c>
      <c r="D1316" s="2" t="s">
        <v>27</v>
      </c>
      <c r="E1316" s="5">
        <v>-29827</v>
      </c>
      <c r="F1316" s="3" t="s">
        <v>280</v>
      </c>
      <c r="G1316" s="3" t="s">
        <v>59</v>
      </c>
      <c r="H1316" s="2" t="s">
        <v>36</v>
      </c>
      <c r="I1316" s="2" t="s">
        <v>3344</v>
      </c>
      <c r="J1316" s="3" t="str">
        <f>HYPERLINK("https://www.boe.es/gazeta/dias/1818/05/02/pdfs/GMD-1818-53.pdf#page=6","Abrir facsímil")</f>
        <v>Abrir facsímil</v>
      </c>
      <c r="K1316" s="3" t="s">
        <v>38</v>
      </c>
    </row>
    <row r="1317" spans="1:11" ht="42" customHeight="1">
      <c r="A1317" s="2" t="s">
        <v>3345</v>
      </c>
      <c r="B1317" s="2" t="s">
        <v>3345</v>
      </c>
      <c r="C1317" s="2" t="s">
        <v>215</v>
      </c>
      <c r="D1317" s="2" t="s">
        <v>18</v>
      </c>
      <c r="E1317" s="5">
        <v>-29943</v>
      </c>
      <c r="F1317" s="3" t="s">
        <v>1837</v>
      </c>
      <c r="G1317" s="3" t="s">
        <v>106</v>
      </c>
      <c r="H1317" s="2" t="s">
        <v>36</v>
      </c>
      <c r="I1317" s="2" t="s">
        <v>3346</v>
      </c>
      <c r="J1317" s="3" t="str">
        <f>HYPERLINK("https://www.boe.es/gazeta/dias/1818/01/06/pdfs/GMD-1818-3.pdf#page=5","Abrir facsímil")</f>
        <v>Abrir facsímil</v>
      </c>
      <c r="K1317" s="3" t="s">
        <v>38</v>
      </c>
    </row>
    <row r="1318" spans="1:11" ht="42" customHeight="1">
      <c r="A1318" s="2" t="s">
        <v>3347</v>
      </c>
      <c r="B1318" s="2" t="s">
        <v>3348</v>
      </c>
      <c r="C1318" s="2" t="s">
        <v>26</v>
      </c>
      <c r="D1318" s="2" t="s">
        <v>27</v>
      </c>
      <c r="E1318" s="5">
        <v>-29794</v>
      </c>
      <c r="F1318" s="3" t="s">
        <v>127</v>
      </c>
      <c r="G1318" s="3" t="s">
        <v>49</v>
      </c>
      <c r="H1318" s="2" t="s">
        <v>36</v>
      </c>
      <c r="I1318" s="2" t="s">
        <v>3349</v>
      </c>
      <c r="J1318" s="3" t="str">
        <f>HYPERLINK("https://www.boe.es/gazeta/dias/1818/06/04/pdfs/GMD-1818-67.pdf#page=1","Abrir facsímil")</f>
        <v>Abrir facsímil</v>
      </c>
      <c r="K1318" s="3" t="s">
        <v>38</v>
      </c>
    </row>
    <row r="1319" spans="1:11" ht="42" customHeight="1">
      <c r="A1319" s="2" t="s">
        <v>3350</v>
      </c>
      <c r="B1319" s="2" t="s">
        <v>3351</v>
      </c>
      <c r="C1319" s="2" t="s">
        <v>215</v>
      </c>
      <c r="D1319" s="2" t="s">
        <v>18</v>
      </c>
      <c r="E1319" s="5">
        <v>-29682</v>
      </c>
      <c r="F1319" s="3" t="s">
        <v>170</v>
      </c>
      <c r="G1319" s="3" t="s">
        <v>20</v>
      </c>
      <c r="H1319" s="2" t="s">
        <v>36</v>
      </c>
      <c r="I1319" s="2" t="s">
        <v>3352</v>
      </c>
      <c r="J1319" s="3" t="str">
        <f>HYPERLINK("https://www.boe.es/gazeta/dias/1818/09/24/pdfs/GMD-1818-115.pdf#page=7","Abrir facsímil")</f>
        <v>Abrir facsímil</v>
      </c>
      <c r="K1319" s="3" t="s">
        <v>38</v>
      </c>
    </row>
    <row r="1320" spans="1:11" ht="42" customHeight="1">
      <c r="A1320" s="2" t="s">
        <v>3353</v>
      </c>
      <c r="B1320" s="2" t="s">
        <v>3354</v>
      </c>
      <c r="C1320" s="2" t="s">
        <v>26</v>
      </c>
      <c r="D1320" s="2" t="s">
        <v>27</v>
      </c>
      <c r="E1320" s="5">
        <v>-29661</v>
      </c>
      <c r="F1320" s="3" t="s">
        <v>348</v>
      </c>
      <c r="G1320" s="3" t="s">
        <v>2464</v>
      </c>
      <c r="H1320" s="2" t="s">
        <v>21</v>
      </c>
      <c r="I1320" s="2" t="s">
        <v>3355</v>
      </c>
      <c r="J1320" s="3" t="str">
        <f>HYPERLINK("https://www.boe.es/gazeta/dias/1818/10/15/pdfs/GMD-1818-124.pdf#page=6","Abrir facsímil")</f>
        <v>Abrir facsímil</v>
      </c>
      <c r="K1320" s="3" t="s">
        <v>23</v>
      </c>
    </row>
    <row r="1321" spans="1:11" ht="42" customHeight="1">
      <c r="A1321" s="2" t="s">
        <v>3356</v>
      </c>
      <c r="B1321" s="2" t="s">
        <v>3357</v>
      </c>
      <c r="C1321" s="2" t="s">
        <v>26</v>
      </c>
      <c r="D1321" s="2" t="s">
        <v>27</v>
      </c>
      <c r="E1321" s="5">
        <v>-29918</v>
      </c>
      <c r="F1321" s="3" t="s">
        <v>89</v>
      </c>
      <c r="G1321" s="3" t="s">
        <v>90</v>
      </c>
      <c r="H1321" s="2" t="s">
        <v>36</v>
      </c>
      <c r="I1321" s="2" t="s">
        <v>3358</v>
      </c>
      <c r="J1321" s="3" t="str">
        <f>HYPERLINK("https://www.boe.es/gazeta/dias/1818/01/31/pdfs/GMD-1818-14.pdf#page=10","Abrir facsímil")</f>
        <v>Abrir facsímil</v>
      </c>
      <c r="K1321" s="3" t="s">
        <v>38</v>
      </c>
    </row>
    <row r="1322" spans="1:11" ht="42" customHeight="1">
      <c r="A1322" s="2" t="s">
        <v>3359</v>
      </c>
      <c r="B1322" s="2" t="s">
        <v>3360</v>
      </c>
      <c r="C1322" s="2" t="s">
        <v>33</v>
      </c>
      <c r="D1322" s="2" t="s">
        <v>18</v>
      </c>
      <c r="E1322" s="5">
        <v>-29887</v>
      </c>
      <c r="F1322" s="3" t="s">
        <v>613</v>
      </c>
      <c r="G1322" s="3" t="s">
        <v>2554</v>
      </c>
      <c r="H1322" s="2" t="s">
        <v>36</v>
      </c>
      <c r="I1322" s="2" t="s">
        <v>3361</v>
      </c>
      <c r="J1322" s="3" t="str">
        <f>HYPERLINK("https://www.boe.es/gazeta/dias/1818/03/03/pdfs/GMD-1818-27.pdf#page=8","Abrir facsímil")</f>
        <v>Abrir facsímil</v>
      </c>
      <c r="K1322" s="3" t="s">
        <v>38</v>
      </c>
    </row>
    <row r="1323" spans="1:11" ht="42" customHeight="1">
      <c r="A1323" s="2" t="s">
        <v>3359</v>
      </c>
      <c r="B1323" s="2" t="s">
        <v>3360</v>
      </c>
      <c r="C1323" s="2" t="s">
        <v>33</v>
      </c>
      <c r="D1323" s="2" t="s">
        <v>18</v>
      </c>
      <c r="E1323" s="5">
        <v>-29855</v>
      </c>
      <c r="F1323" s="3" t="s">
        <v>676</v>
      </c>
      <c r="G1323" s="3" t="s">
        <v>45</v>
      </c>
      <c r="H1323" s="2" t="s">
        <v>36</v>
      </c>
      <c r="I1323" s="2" t="s">
        <v>3362</v>
      </c>
      <c r="J1323" s="3" t="str">
        <f>HYPERLINK("https://www.boe.es/gazeta/dias/1818/04/04/pdfs/GMD-1818-41.pdf#page=8","Abrir facsímil")</f>
        <v>Abrir facsímil</v>
      </c>
      <c r="K1323" s="3" t="s">
        <v>38</v>
      </c>
    </row>
    <row r="1324" spans="1:11" ht="42" customHeight="1">
      <c r="A1324" s="2" t="s">
        <v>3363</v>
      </c>
      <c r="B1324" s="2" t="s">
        <v>3364</v>
      </c>
      <c r="C1324" s="2" t="s">
        <v>17</v>
      </c>
      <c r="D1324" s="2" t="s">
        <v>18</v>
      </c>
      <c r="E1324" s="5">
        <v>-29932</v>
      </c>
      <c r="F1324" s="3" t="s">
        <v>34</v>
      </c>
      <c r="G1324" s="3" t="s">
        <v>35</v>
      </c>
      <c r="H1324" s="2" t="s">
        <v>36</v>
      </c>
      <c r="I1324" s="2" t="s">
        <v>3365</v>
      </c>
      <c r="J1324" s="3" t="str">
        <f>HYPERLINK("https://www.boe.es/gazeta/dias/1818/01/17/pdfs/GMD-1818-8.pdf#page=8","Abrir facsímil")</f>
        <v>Abrir facsímil</v>
      </c>
      <c r="K1324" s="3" t="s">
        <v>38</v>
      </c>
    </row>
    <row r="1325" spans="1:11" ht="42" customHeight="1">
      <c r="A1325" s="2" t="s">
        <v>3363</v>
      </c>
      <c r="B1325" s="2" t="s">
        <v>3364</v>
      </c>
      <c r="C1325" s="2" t="s">
        <v>57</v>
      </c>
      <c r="D1325" s="2" t="s">
        <v>18</v>
      </c>
      <c r="E1325" s="5">
        <v>-29892</v>
      </c>
      <c r="F1325" s="3" t="s">
        <v>39</v>
      </c>
      <c r="G1325" s="3" t="s">
        <v>40</v>
      </c>
      <c r="H1325" s="2" t="s">
        <v>36</v>
      </c>
      <c r="I1325" s="2" t="s">
        <v>3366</v>
      </c>
      <c r="J1325" s="3" t="str">
        <f>HYPERLINK("https://www.boe.es/gazeta/dias/1818/02/26/pdfs/GMD-1818-25.pdf#page=8","Abrir facsímil")</f>
        <v>Abrir facsímil</v>
      </c>
      <c r="K1325" s="3" t="s">
        <v>38</v>
      </c>
    </row>
    <row r="1326" spans="1:11" ht="42" customHeight="1">
      <c r="A1326" s="2" t="s">
        <v>3367</v>
      </c>
      <c r="B1326" s="2" t="s">
        <v>3368</v>
      </c>
      <c r="C1326" s="2" t="s">
        <v>68</v>
      </c>
      <c r="D1326" s="2" t="s">
        <v>69</v>
      </c>
      <c r="E1326" s="5">
        <v>-29659</v>
      </c>
      <c r="F1326" s="3" t="s">
        <v>1690</v>
      </c>
      <c r="G1326" s="3" t="s">
        <v>20</v>
      </c>
      <c r="H1326" s="2" t="s">
        <v>36</v>
      </c>
      <c r="I1326" s="2" t="s">
        <v>3369</v>
      </c>
      <c r="J1326" s="3" t="str">
        <f>HYPERLINK("https://www.boe.es/gazeta/dias/1818/10/17/pdfs/GMD-1818-126.pdf#page=7","Abrir facsímil")</f>
        <v>Abrir facsímil</v>
      </c>
      <c r="K1326" s="3" t="s">
        <v>38</v>
      </c>
    </row>
    <row r="1327" spans="1:11" ht="42" customHeight="1">
      <c r="A1327" s="2" t="s">
        <v>3370</v>
      </c>
      <c r="B1327" s="2" t="s">
        <v>3371</v>
      </c>
      <c r="C1327" s="2" t="s">
        <v>17</v>
      </c>
      <c r="D1327" s="2" t="s">
        <v>18</v>
      </c>
      <c r="E1327" s="5">
        <v>-29687</v>
      </c>
      <c r="F1327" s="3" t="s">
        <v>686</v>
      </c>
      <c r="G1327" s="3" t="s">
        <v>106</v>
      </c>
      <c r="H1327" s="2" t="s">
        <v>36</v>
      </c>
      <c r="I1327" s="2" t="s">
        <v>3372</v>
      </c>
      <c r="J1327" s="3" t="str">
        <f>HYPERLINK("https://www.boe.es/gazeta/dias/1818/09/19/pdfs/GMD-1818-113.pdf#page=5","Abrir facsímil")</f>
        <v>Abrir facsímil</v>
      </c>
      <c r="K1327" s="3" t="s">
        <v>38</v>
      </c>
    </row>
    <row r="1328" spans="1:11" ht="42" customHeight="1">
      <c r="A1328" s="2" t="s">
        <v>3373</v>
      </c>
      <c r="B1328" s="2" t="s">
        <v>3374</v>
      </c>
      <c r="C1328" s="2" t="s">
        <v>17</v>
      </c>
      <c r="D1328" s="2" t="s">
        <v>18</v>
      </c>
      <c r="E1328" s="5">
        <v>-29584</v>
      </c>
      <c r="F1328" s="3" t="s">
        <v>1002</v>
      </c>
      <c r="G1328" s="3" t="s">
        <v>59</v>
      </c>
      <c r="H1328" s="2" t="s">
        <v>36</v>
      </c>
      <c r="I1328" s="2" t="s">
        <v>3375</v>
      </c>
      <c r="J1328" s="3" t="str">
        <f>HYPERLINK("https://www.boe.es/gazeta/dias/1818/12/31/pdfs/GMD-1818-159.pdf#page=6","Abrir facsímil")</f>
        <v>Abrir facsímil</v>
      </c>
      <c r="K1328" s="3" t="s">
        <v>38</v>
      </c>
    </row>
    <row r="1329" spans="1:11" ht="42" customHeight="1">
      <c r="A1329" s="2" t="s">
        <v>3376</v>
      </c>
      <c r="B1329" s="2" t="s">
        <v>3377</v>
      </c>
      <c r="C1329" s="2" t="s">
        <v>26</v>
      </c>
      <c r="D1329" s="2" t="s">
        <v>27</v>
      </c>
      <c r="E1329" s="5">
        <v>-29897</v>
      </c>
      <c r="F1329" s="3" t="s">
        <v>318</v>
      </c>
      <c r="G1329" s="3" t="s">
        <v>29</v>
      </c>
      <c r="H1329" s="2" t="s">
        <v>36</v>
      </c>
      <c r="I1329" s="2" t="s">
        <v>3378</v>
      </c>
      <c r="J1329" s="3" t="str">
        <f>HYPERLINK("https://www.boe.es/gazeta/dias/1818/02/21/pdfs/GMD-1818-23.pdf#page=4","Abrir facsímil")</f>
        <v>Abrir facsímil</v>
      </c>
      <c r="K1329" s="3" t="s">
        <v>38</v>
      </c>
    </row>
    <row r="1330" spans="1:11" ht="42" customHeight="1">
      <c r="A1330" s="2" t="s">
        <v>3379</v>
      </c>
      <c r="B1330" s="2" t="s">
        <v>3380</v>
      </c>
      <c r="C1330" s="2" t="s">
        <v>17</v>
      </c>
      <c r="D1330" s="2" t="s">
        <v>18</v>
      </c>
      <c r="E1330" s="5">
        <v>-29698</v>
      </c>
      <c r="F1330" s="3" t="s">
        <v>148</v>
      </c>
      <c r="G1330" s="3" t="s">
        <v>29</v>
      </c>
      <c r="H1330" s="2" t="s">
        <v>36</v>
      </c>
      <c r="I1330" s="2" t="s">
        <v>3381</v>
      </c>
      <c r="J1330" s="3" t="str">
        <f>HYPERLINK("https://www.boe.es/gazeta/dias/1818/09/08/pdfs/GMD-1818-108.pdf#page=4","Abrir facsímil")</f>
        <v>Abrir facsímil</v>
      </c>
      <c r="K1330" s="3" t="s">
        <v>38</v>
      </c>
    </row>
    <row r="1331" spans="1:11" ht="42" customHeight="1">
      <c r="A1331" s="2" t="s">
        <v>3382</v>
      </c>
      <c r="B1331" s="2" t="s">
        <v>3383</v>
      </c>
      <c r="C1331" s="2" t="s">
        <v>57</v>
      </c>
      <c r="D1331" s="2" t="s">
        <v>18</v>
      </c>
      <c r="E1331" s="5">
        <v>-29740</v>
      </c>
      <c r="F1331" s="3" t="s">
        <v>152</v>
      </c>
      <c r="G1331" s="3" t="s">
        <v>45</v>
      </c>
      <c r="H1331" s="2" t="s">
        <v>21</v>
      </c>
      <c r="I1331" s="2" t="s">
        <v>3384</v>
      </c>
      <c r="J1331" s="3" t="str">
        <f>HYPERLINK("https://www.boe.es/gazeta/dias/1818/07/28/pdfs/GMD-1818-90.pdf#page=8","Abrir facsímil")</f>
        <v>Abrir facsímil</v>
      </c>
      <c r="K1331" s="3" t="s">
        <v>23</v>
      </c>
    </row>
    <row r="1332" spans="1:11" ht="42" customHeight="1">
      <c r="A1332" s="2" t="s">
        <v>3385</v>
      </c>
      <c r="B1332" s="2" t="s">
        <v>3386</v>
      </c>
      <c r="C1332" s="2" t="s">
        <v>33</v>
      </c>
      <c r="D1332" s="2" t="s">
        <v>18</v>
      </c>
      <c r="E1332" s="5">
        <v>-29698</v>
      </c>
      <c r="F1332" s="3" t="s">
        <v>148</v>
      </c>
      <c r="G1332" s="3" t="s">
        <v>29</v>
      </c>
      <c r="H1332" s="2" t="s">
        <v>36</v>
      </c>
      <c r="I1332" s="2" t="s">
        <v>3387</v>
      </c>
      <c r="J1332" s="3" t="str">
        <f>HYPERLINK("https://www.boe.es/gazeta/dias/1818/09/08/pdfs/GMD-1818-108.pdf#page=4","Abrir facsímil")</f>
        <v>Abrir facsímil</v>
      </c>
      <c r="K1332" s="3" t="s">
        <v>38</v>
      </c>
    </row>
    <row r="1333" spans="1:11" ht="42" customHeight="1">
      <c r="A1333" s="2" t="s">
        <v>3388</v>
      </c>
      <c r="B1333" s="2" t="s">
        <v>3389</v>
      </c>
      <c r="C1333" s="2" t="s">
        <v>17</v>
      </c>
      <c r="D1333" s="2" t="s">
        <v>18</v>
      </c>
      <c r="E1333" s="5">
        <v>-29698</v>
      </c>
      <c r="F1333" s="3" t="s">
        <v>148</v>
      </c>
      <c r="G1333" s="3" t="s">
        <v>29</v>
      </c>
      <c r="H1333" s="2" t="s">
        <v>36</v>
      </c>
      <c r="I1333" s="2" t="s">
        <v>3390</v>
      </c>
      <c r="J1333" s="3" t="str">
        <f>HYPERLINK("https://www.boe.es/gazeta/dias/1818/09/08/pdfs/GMD-1818-108.pdf#page=4","Abrir facsímil")</f>
        <v>Abrir facsímil</v>
      </c>
      <c r="K1333" s="3" t="s">
        <v>38</v>
      </c>
    </row>
    <row r="1334" spans="1:11" ht="42" customHeight="1">
      <c r="A1334" s="2" t="s">
        <v>3391</v>
      </c>
      <c r="B1334" s="2" t="s">
        <v>3392</v>
      </c>
      <c r="C1334" s="2" t="s">
        <v>17</v>
      </c>
      <c r="D1334" s="2" t="s">
        <v>18</v>
      </c>
      <c r="E1334" s="5">
        <v>-29906</v>
      </c>
      <c r="F1334" s="3" t="s">
        <v>28</v>
      </c>
      <c r="G1334" s="3" t="s">
        <v>20</v>
      </c>
      <c r="H1334" s="2" t="s">
        <v>36</v>
      </c>
      <c r="I1334" s="2" t="s">
        <v>3393</v>
      </c>
      <c r="J1334" s="3" t="str">
        <f>HYPERLINK("https://www.boe.es/gazeta/dias/1818/02/12/pdfs/GMD-1818-19.pdf#page=7","Abrir facsímil")</f>
        <v>Abrir facsímil</v>
      </c>
      <c r="K1334" s="3" t="s">
        <v>38</v>
      </c>
    </row>
    <row r="1335" spans="1:11" ht="42" customHeight="1">
      <c r="A1335" s="2" t="s">
        <v>3394</v>
      </c>
      <c r="B1335" s="2" t="s">
        <v>3395</v>
      </c>
      <c r="C1335" s="2" t="s">
        <v>17</v>
      </c>
      <c r="D1335" s="2" t="s">
        <v>18</v>
      </c>
      <c r="E1335" s="5">
        <v>-29906</v>
      </c>
      <c r="F1335" s="3" t="s">
        <v>28</v>
      </c>
      <c r="G1335" s="3" t="s">
        <v>20</v>
      </c>
      <c r="H1335" s="2" t="s">
        <v>36</v>
      </c>
      <c r="I1335" s="2" t="s">
        <v>3396</v>
      </c>
      <c r="J1335" s="3" t="str">
        <f>HYPERLINK("https://www.boe.es/gazeta/dias/1818/02/12/pdfs/GMD-1818-19.pdf#page=7","Abrir facsímil")</f>
        <v>Abrir facsímil</v>
      </c>
      <c r="K1335" s="3" t="s">
        <v>38</v>
      </c>
    </row>
    <row r="1336" spans="1:11" ht="42" customHeight="1">
      <c r="A1336" s="2" t="s">
        <v>3397</v>
      </c>
      <c r="B1336" s="2" t="s">
        <v>3397</v>
      </c>
      <c r="C1336" s="2" t="s">
        <v>68</v>
      </c>
      <c r="D1336" s="2" t="s">
        <v>69</v>
      </c>
      <c r="E1336" s="5">
        <v>-29624</v>
      </c>
      <c r="F1336" s="3" t="s">
        <v>131</v>
      </c>
      <c r="G1336" s="3" t="s">
        <v>20</v>
      </c>
      <c r="H1336" s="2" t="s">
        <v>36</v>
      </c>
      <c r="I1336" s="2" t="s">
        <v>3398</v>
      </c>
      <c r="J1336" s="3" t="str">
        <f>HYPERLINK("https://www.boe.es/gazeta/dias/1818/11/21/pdfs/GMD-1818-141.pdf#page=7","Abrir facsímil")</f>
        <v>Abrir facsímil</v>
      </c>
      <c r="K1336" s="3" t="s">
        <v>38</v>
      </c>
    </row>
    <row r="1337" spans="1:11" ht="42" customHeight="1">
      <c r="A1337" s="2" t="s">
        <v>3399</v>
      </c>
      <c r="B1337" s="2" t="s">
        <v>3400</v>
      </c>
      <c r="C1337" s="2" t="s">
        <v>57</v>
      </c>
      <c r="D1337" s="2" t="s">
        <v>18</v>
      </c>
      <c r="E1337" s="5">
        <v>-29621</v>
      </c>
      <c r="F1337" s="3" t="s">
        <v>1561</v>
      </c>
      <c r="G1337" s="3" t="s">
        <v>45</v>
      </c>
      <c r="H1337" s="2" t="s">
        <v>36</v>
      </c>
      <c r="I1337" s="2" t="s">
        <v>3401</v>
      </c>
      <c r="J1337" s="3" t="str">
        <f>HYPERLINK("https://www.boe.es/gazeta/dias/1818/11/24/pdfs/GMD-1818-142.pdf#page=8","Abrir facsímil")</f>
        <v>Abrir facsímil</v>
      </c>
      <c r="K1337" s="3" t="s">
        <v>38</v>
      </c>
    </row>
    <row r="1338" spans="1:11" ht="42" customHeight="1">
      <c r="A1338" s="2" t="s">
        <v>3399</v>
      </c>
      <c r="B1338" s="2" t="s">
        <v>3400</v>
      </c>
      <c r="C1338" s="2" t="s">
        <v>97</v>
      </c>
      <c r="D1338" s="2" t="s">
        <v>18</v>
      </c>
      <c r="E1338" s="5">
        <v>-29610</v>
      </c>
      <c r="F1338" s="3" t="s">
        <v>1441</v>
      </c>
      <c r="G1338" s="3" t="s">
        <v>45</v>
      </c>
      <c r="H1338" s="2" t="s">
        <v>36</v>
      </c>
      <c r="I1338" s="2" t="s">
        <v>3402</v>
      </c>
      <c r="J1338" s="3" t="str">
        <f>HYPERLINK("https://www.boe.es/gazeta/dias/1818/12/05/pdfs/GMD-1818-147.pdf#page=8","Abrir facsímil")</f>
        <v>Abrir facsímil</v>
      </c>
      <c r="K1338" s="3" t="s">
        <v>38</v>
      </c>
    </row>
    <row r="1339" spans="1:11" ht="42" customHeight="1">
      <c r="A1339" s="2" t="s">
        <v>3403</v>
      </c>
      <c r="B1339" s="2" t="s">
        <v>3404</v>
      </c>
      <c r="C1339" s="2" t="s">
        <v>26</v>
      </c>
      <c r="D1339" s="2" t="s">
        <v>27</v>
      </c>
      <c r="E1339" s="5">
        <v>-29887</v>
      </c>
      <c r="F1339" s="3" t="s">
        <v>613</v>
      </c>
      <c r="G1339" s="3" t="s">
        <v>59</v>
      </c>
      <c r="H1339" s="2" t="s">
        <v>36</v>
      </c>
      <c r="I1339" s="2" t="s">
        <v>3405</v>
      </c>
      <c r="J1339" s="3" t="str">
        <f>HYPERLINK("https://www.boe.es/gazeta/dias/1818/03/03/pdfs/GMD-1818-27.pdf#page=6","Abrir facsímil")</f>
        <v>Abrir facsímil</v>
      </c>
      <c r="K1339" s="3" t="s">
        <v>38</v>
      </c>
    </row>
    <row r="1340" spans="1:11" ht="42" customHeight="1">
      <c r="A1340" s="2" t="s">
        <v>3406</v>
      </c>
      <c r="B1340" s="2" t="s">
        <v>3407</v>
      </c>
      <c r="C1340" s="2" t="s">
        <v>26</v>
      </c>
      <c r="D1340" s="2" t="s">
        <v>27</v>
      </c>
      <c r="E1340" s="5">
        <v>-29887</v>
      </c>
      <c r="F1340" s="3" t="s">
        <v>613</v>
      </c>
      <c r="G1340" s="3" t="s">
        <v>59</v>
      </c>
      <c r="H1340" s="2" t="s">
        <v>36</v>
      </c>
      <c r="I1340" s="2" t="s">
        <v>3408</v>
      </c>
      <c r="J1340" s="3" t="str">
        <f>HYPERLINK("https://www.boe.es/gazeta/dias/1818/03/03/pdfs/GMD-1818-27.pdf#page=6","Abrir facsímil")</f>
        <v>Abrir facsímil</v>
      </c>
      <c r="K1340" s="3" t="s">
        <v>38</v>
      </c>
    </row>
    <row r="1341" spans="1:11" ht="42" customHeight="1">
      <c r="A1341" s="2" t="s">
        <v>3409</v>
      </c>
      <c r="B1341" s="2" t="s">
        <v>3410</v>
      </c>
      <c r="C1341" s="2" t="s">
        <v>57</v>
      </c>
      <c r="D1341" s="2" t="s">
        <v>18</v>
      </c>
      <c r="E1341" s="5">
        <v>-29624</v>
      </c>
      <c r="F1341" s="3" t="s">
        <v>131</v>
      </c>
      <c r="G1341" s="3" t="s">
        <v>20</v>
      </c>
      <c r="H1341" s="2" t="s">
        <v>36</v>
      </c>
      <c r="I1341" s="2" t="s">
        <v>3411</v>
      </c>
      <c r="J1341" s="3" t="str">
        <f>HYPERLINK("https://www.boe.es/gazeta/dias/1818/11/21/pdfs/GMD-1818-141.pdf#page=7","Abrir facsímil")</f>
        <v>Abrir facsímil</v>
      </c>
      <c r="K1341" s="3" t="s">
        <v>38</v>
      </c>
    </row>
    <row r="1342" spans="1:11" ht="42" customHeight="1">
      <c r="A1342" s="2" t="s">
        <v>3412</v>
      </c>
      <c r="B1342" s="2" t="s">
        <v>3413</v>
      </c>
      <c r="C1342" s="2" t="s">
        <v>17</v>
      </c>
      <c r="D1342" s="2" t="s">
        <v>18</v>
      </c>
      <c r="E1342" s="5">
        <v>-29675</v>
      </c>
      <c r="F1342" s="3" t="s">
        <v>2314</v>
      </c>
      <c r="G1342" s="3" t="s">
        <v>45</v>
      </c>
      <c r="H1342" s="2" t="s">
        <v>36</v>
      </c>
      <c r="I1342" s="2" t="s">
        <v>3414</v>
      </c>
      <c r="J1342" s="3" t="str">
        <f>HYPERLINK("https://www.boe.es/gazeta/dias/1818/10/01/pdfs/GMD-1818-118.pdf#page=8","Abrir facsímil")</f>
        <v>Abrir facsímil</v>
      </c>
      <c r="K1342" s="3" t="s">
        <v>38</v>
      </c>
    </row>
    <row r="1343" spans="1:11" ht="42" customHeight="1">
      <c r="A1343" s="2" t="s">
        <v>3415</v>
      </c>
      <c r="B1343" s="2" t="s">
        <v>3416</v>
      </c>
      <c r="C1343" s="2" t="s">
        <v>17</v>
      </c>
      <c r="D1343" s="2" t="s">
        <v>18</v>
      </c>
      <c r="E1343" s="5">
        <v>-29698</v>
      </c>
      <c r="F1343" s="3" t="s">
        <v>148</v>
      </c>
      <c r="G1343" s="3" t="s">
        <v>29</v>
      </c>
      <c r="H1343" s="2" t="s">
        <v>36</v>
      </c>
      <c r="I1343" s="2" t="s">
        <v>3417</v>
      </c>
      <c r="J1343" s="3" t="str">
        <f>HYPERLINK("https://www.boe.es/gazeta/dias/1818/09/08/pdfs/GMD-1818-108.pdf#page=4","Abrir facsímil")</f>
        <v>Abrir facsímil</v>
      </c>
      <c r="K1343" s="3" t="s">
        <v>38</v>
      </c>
    </row>
    <row r="1344" spans="1:11" ht="42" customHeight="1">
      <c r="A1344" s="2" t="s">
        <v>3418</v>
      </c>
      <c r="B1344" s="2" t="s">
        <v>3419</v>
      </c>
      <c r="C1344" s="2" t="s">
        <v>17</v>
      </c>
      <c r="D1344" s="2" t="s">
        <v>18</v>
      </c>
      <c r="E1344" s="5">
        <v>-29878</v>
      </c>
      <c r="F1344" s="3" t="s">
        <v>353</v>
      </c>
      <c r="G1344" s="3" t="s">
        <v>59</v>
      </c>
      <c r="H1344" s="2" t="s">
        <v>36</v>
      </c>
      <c r="I1344" s="2" t="s">
        <v>3420</v>
      </c>
      <c r="J1344" s="3" t="str">
        <f>HYPERLINK("https://www.boe.es/gazeta/dias/1818/03/12/pdfs/GMD-1818-31.pdf#page=6","Abrir facsímil")</f>
        <v>Abrir facsímil</v>
      </c>
      <c r="K1344" s="3" t="s">
        <v>38</v>
      </c>
    </row>
    <row r="1345" spans="1:11" ht="42" customHeight="1">
      <c r="A1345" s="2" t="s">
        <v>3421</v>
      </c>
      <c r="B1345" s="2" t="s">
        <v>3422</v>
      </c>
      <c r="C1345" s="2" t="s">
        <v>17</v>
      </c>
      <c r="D1345" s="2" t="s">
        <v>18</v>
      </c>
      <c r="E1345" s="5">
        <v>-29589</v>
      </c>
      <c r="F1345" s="3" t="s">
        <v>210</v>
      </c>
      <c r="G1345" s="3" t="s">
        <v>59</v>
      </c>
      <c r="H1345" s="2" t="s">
        <v>36</v>
      </c>
      <c r="I1345" s="2" t="s">
        <v>3423</v>
      </c>
      <c r="J1345" s="3" t="str">
        <f>HYPERLINK("https://www.boe.es/gazeta/dias/1818/12/26/pdfs/GMD-1818-156.pdf#page=6","Abrir facsímil")</f>
        <v>Abrir facsímil</v>
      </c>
      <c r="K1345" s="3" t="s">
        <v>38</v>
      </c>
    </row>
    <row r="1346" spans="1:11" ht="42" customHeight="1">
      <c r="A1346" s="2" t="s">
        <v>3424</v>
      </c>
      <c r="B1346" s="2" t="s">
        <v>3425</v>
      </c>
      <c r="C1346" s="2" t="s">
        <v>33</v>
      </c>
      <c r="D1346" s="2" t="s">
        <v>18</v>
      </c>
      <c r="E1346" s="5">
        <v>-29663</v>
      </c>
      <c r="F1346" s="3" t="s">
        <v>1011</v>
      </c>
      <c r="G1346" s="3" t="s">
        <v>45</v>
      </c>
      <c r="H1346" s="2" t="s">
        <v>36</v>
      </c>
      <c r="I1346" s="2" t="s">
        <v>3426</v>
      </c>
      <c r="J1346" s="3" t="str">
        <f>HYPERLINK("https://www.boe.es/gazeta/dias/1818/10/13/pdfs/GMD-1818-123.pdf#page=8","Abrir facsímil")</f>
        <v>Abrir facsímil</v>
      </c>
      <c r="K1346" s="3" t="s">
        <v>38</v>
      </c>
    </row>
    <row r="1347" spans="1:11" ht="42" customHeight="1">
      <c r="A1347" s="2" t="s">
        <v>3427</v>
      </c>
      <c r="B1347" s="2" t="s">
        <v>3427</v>
      </c>
      <c r="C1347" s="2" t="s">
        <v>68</v>
      </c>
      <c r="D1347" s="2" t="s">
        <v>69</v>
      </c>
      <c r="E1347" s="5">
        <v>-29871</v>
      </c>
      <c r="F1347" s="3" t="s">
        <v>641</v>
      </c>
      <c r="G1347" s="3" t="s">
        <v>120</v>
      </c>
      <c r="H1347" s="2" t="s">
        <v>36</v>
      </c>
      <c r="I1347" s="2" t="s">
        <v>3428</v>
      </c>
      <c r="J1347" s="3" t="str">
        <f>HYPERLINK("https://www.boe.es/gazeta/dias/1818/03/19/pdfs/GMD-1818-34.pdf#page=2","Abrir facsímil")</f>
        <v>Abrir facsímil</v>
      </c>
      <c r="K1347" s="3" t="s">
        <v>38</v>
      </c>
    </row>
    <row r="1348" spans="1:11" ht="42" customHeight="1">
      <c r="A1348" s="2" t="s">
        <v>3429</v>
      </c>
      <c r="B1348" s="2" t="s">
        <v>3430</v>
      </c>
      <c r="C1348" s="2" t="s">
        <v>26</v>
      </c>
      <c r="D1348" s="2" t="s">
        <v>27</v>
      </c>
      <c r="E1348" s="5">
        <v>-29932</v>
      </c>
      <c r="F1348" s="3" t="s">
        <v>34</v>
      </c>
      <c r="G1348" s="3" t="s">
        <v>59</v>
      </c>
      <c r="H1348" s="2" t="s">
        <v>36</v>
      </c>
      <c r="I1348" s="2" t="s">
        <v>3431</v>
      </c>
      <c r="J1348" s="3" t="str">
        <f>HYPERLINK("https://www.boe.es/gazeta/dias/1818/01/17/pdfs/GMD-1818-8.pdf#page=6","Abrir facsímil")</f>
        <v>Abrir facsímil</v>
      </c>
      <c r="K1348" s="3" t="s">
        <v>38</v>
      </c>
    </row>
    <row r="1349" spans="1:11" ht="42" customHeight="1">
      <c r="A1349" s="2" t="s">
        <v>3429</v>
      </c>
      <c r="B1349" s="2" t="s">
        <v>3430</v>
      </c>
      <c r="C1349" s="2" t="s">
        <v>26</v>
      </c>
      <c r="D1349" s="2" t="s">
        <v>27</v>
      </c>
      <c r="E1349" s="5">
        <v>-29922</v>
      </c>
      <c r="F1349" s="3" t="s">
        <v>174</v>
      </c>
      <c r="G1349" s="3" t="s">
        <v>59</v>
      </c>
      <c r="H1349" s="2" t="s">
        <v>36</v>
      </c>
      <c r="I1349" s="2" t="s">
        <v>3432</v>
      </c>
      <c r="J1349" s="3" t="str">
        <f>HYPERLINK("https://www.boe.es/gazeta/dias/1818/01/27/pdfs/GMD-1818-12.pdf#page=6","Abrir facsímil")</f>
        <v>Abrir facsímil</v>
      </c>
      <c r="K1349" s="3" t="s">
        <v>38</v>
      </c>
    </row>
    <row r="1350" spans="1:11" ht="42" customHeight="1">
      <c r="A1350" s="2" t="s">
        <v>3429</v>
      </c>
      <c r="B1350" s="2" t="s">
        <v>3430</v>
      </c>
      <c r="C1350" s="2" t="s">
        <v>26</v>
      </c>
      <c r="D1350" s="2" t="s">
        <v>27</v>
      </c>
      <c r="E1350" s="5">
        <v>-29920</v>
      </c>
      <c r="F1350" s="3" t="s">
        <v>201</v>
      </c>
      <c r="G1350" s="3" t="s">
        <v>106</v>
      </c>
      <c r="H1350" s="2" t="s">
        <v>36</v>
      </c>
      <c r="I1350" s="2" t="s">
        <v>3433</v>
      </c>
      <c r="J1350" s="3" t="str">
        <f>HYPERLINK("https://www.boe.es/gazeta/dias/1818/01/29/pdfs/GMD-1818-13.pdf#page=5","Abrir facsímil")</f>
        <v>Abrir facsímil</v>
      </c>
      <c r="K1350" s="3" t="s">
        <v>38</v>
      </c>
    </row>
    <row r="1351" spans="1:11" ht="42" customHeight="1">
      <c r="A1351" s="2" t="s">
        <v>3429</v>
      </c>
      <c r="B1351" s="2" t="s">
        <v>3430</v>
      </c>
      <c r="C1351" s="2" t="s">
        <v>26</v>
      </c>
      <c r="D1351" s="2" t="s">
        <v>27</v>
      </c>
      <c r="E1351" s="5">
        <v>-29918</v>
      </c>
      <c r="F1351" s="3" t="s">
        <v>89</v>
      </c>
      <c r="G1351" s="3" t="s">
        <v>1492</v>
      </c>
      <c r="H1351" s="2" t="s">
        <v>36</v>
      </c>
      <c r="I1351" s="2" t="s">
        <v>3434</v>
      </c>
      <c r="J1351" s="3" t="str">
        <f>HYPERLINK("https://www.boe.es/gazeta/dias/1818/01/31/pdfs/GMD-1818-14.pdf#page=6","Abrir facsímil")</f>
        <v>Abrir facsímil</v>
      </c>
      <c r="K1351" s="3" t="s">
        <v>38</v>
      </c>
    </row>
    <row r="1352" spans="1:11" ht="42" customHeight="1">
      <c r="A1352" s="2" t="s">
        <v>3429</v>
      </c>
      <c r="B1352" s="2" t="s">
        <v>3430</v>
      </c>
      <c r="C1352" s="2" t="s">
        <v>26</v>
      </c>
      <c r="D1352" s="2" t="s">
        <v>27</v>
      </c>
      <c r="E1352" s="5">
        <v>-29915</v>
      </c>
      <c r="F1352" s="3" t="s">
        <v>429</v>
      </c>
      <c r="G1352" s="3" t="s">
        <v>815</v>
      </c>
      <c r="H1352" s="2" t="s">
        <v>36</v>
      </c>
      <c r="I1352" s="2" t="s">
        <v>3435</v>
      </c>
      <c r="J1352" s="3" t="str">
        <f>HYPERLINK("https://www.boe.es/gazeta/dias/1818/02/03/pdfs/GMD-1818-15.pdf#page=5","Abrir facsímil")</f>
        <v>Abrir facsímil</v>
      </c>
      <c r="K1352" s="3" t="s">
        <v>38</v>
      </c>
    </row>
    <row r="1353" spans="1:11" ht="42" customHeight="1">
      <c r="A1353" s="2" t="s">
        <v>3429</v>
      </c>
      <c r="B1353" s="2" t="s">
        <v>3430</v>
      </c>
      <c r="C1353" s="2" t="s">
        <v>26</v>
      </c>
      <c r="D1353" s="2" t="s">
        <v>27</v>
      </c>
      <c r="E1353" s="5">
        <v>-29913</v>
      </c>
      <c r="F1353" s="3" t="s">
        <v>449</v>
      </c>
      <c r="G1353" s="3" t="s">
        <v>85</v>
      </c>
      <c r="H1353" s="2" t="s">
        <v>36</v>
      </c>
      <c r="I1353" s="2" t="s">
        <v>3436</v>
      </c>
      <c r="J1353" s="3" t="str">
        <f>HYPERLINK("https://www.boe.es/gazeta/dias/1818/02/05/pdfs/GMD-1818-16.pdf#page=3","Abrir facsímil")</f>
        <v>Abrir facsímil</v>
      </c>
      <c r="K1353" s="3" t="s">
        <v>38</v>
      </c>
    </row>
    <row r="1354" spans="1:11" ht="42" customHeight="1">
      <c r="A1354" s="2" t="s">
        <v>3429</v>
      </c>
      <c r="B1354" s="2" t="s">
        <v>3430</v>
      </c>
      <c r="C1354" s="2" t="s">
        <v>26</v>
      </c>
      <c r="D1354" s="2" t="s">
        <v>27</v>
      </c>
      <c r="E1354" s="5">
        <v>-29904</v>
      </c>
      <c r="F1354" s="3" t="s">
        <v>451</v>
      </c>
      <c r="G1354" s="3" t="s">
        <v>106</v>
      </c>
      <c r="H1354" s="2" t="s">
        <v>36</v>
      </c>
      <c r="I1354" s="2" t="s">
        <v>3437</v>
      </c>
      <c r="J1354" s="3" t="str">
        <f>HYPERLINK("https://www.boe.es/gazeta/dias/1818/02/14/pdfs/GMD-1818-20.pdf#page=5","Abrir facsímil")</f>
        <v>Abrir facsímil</v>
      </c>
      <c r="K1354" s="3" t="s">
        <v>38</v>
      </c>
    </row>
    <row r="1355" spans="1:11" ht="42" customHeight="1">
      <c r="A1355" s="2" t="s">
        <v>3429</v>
      </c>
      <c r="B1355" s="2" t="s">
        <v>3430</v>
      </c>
      <c r="C1355" s="2" t="s">
        <v>26</v>
      </c>
      <c r="D1355" s="2" t="s">
        <v>27</v>
      </c>
      <c r="E1355" s="5">
        <v>-29901</v>
      </c>
      <c r="F1355" s="3" t="s">
        <v>417</v>
      </c>
      <c r="G1355" s="3" t="s">
        <v>20</v>
      </c>
      <c r="H1355" s="2" t="s">
        <v>36</v>
      </c>
      <c r="I1355" s="2" t="s">
        <v>3438</v>
      </c>
      <c r="J1355" s="3" t="str">
        <f>HYPERLINK("https://www.boe.es/gazeta/dias/1818/02/17/pdfs/GMD-1818-21.pdf#page=7","Abrir facsímil")</f>
        <v>Abrir facsímil</v>
      </c>
      <c r="K1355" s="3" t="s">
        <v>38</v>
      </c>
    </row>
    <row r="1356" spans="1:11" ht="42" customHeight="1">
      <c r="A1356" s="2" t="s">
        <v>3429</v>
      </c>
      <c r="B1356" s="2" t="s">
        <v>3430</v>
      </c>
      <c r="C1356" s="2" t="s">
        <v>26</v>
      </c>
      <c r="D1356" s="2" t="s">
        <v>27</v>
      </c>
      <c r="E1356" s="5">
        <v>-29836</v>
      </c>
      <c r="F1356" s="3" t="s">
        <v>119</v>
      </c>
      <c r="G1356" s="3" t="s">
        <v>45</v>
      </c>
      <c r="H1356" s="2" t="s">
        <v>36</v>
      </c>
      <c r="I1356" s="2" t="s">
        <v>3439</v>
      </c>
      <c r="J1356" s="3" t="str">
        <f>HYPERLINK("https://www.boe.es/gazeta/dias/1818/04/23/pdfs/GMD-1818-49.pdf#page=8","Abrir facsímil")</f>
        <v>Abrir facsímil</v>
      </c>
      <c r="K1356" s="3" t="s">
        <v>38</v>
      </c>
    </row>
    <row r="1357" spans="1:11" ht="42" customHeight="1">
      <c r="A1357" s="2" t="s">
        <v>3429</v>
      </c>
      <c r="B1357" s="2" t="s">
        <v>3430</v>
      </c>
      <c r="C1357" s="2" t="s">
        <v>26</v>
      </c>
      <c r="D1357" s="2" t="s">
        <v>27</v>
      </c>
      <c r="E1357" s="5">
        <v>-29831</v>
      </c>
      <c r="F1357" s="3" t="s">
        <v>567</v>
      </c>
      <c r="G1357" s="3" t="s">
        <v>106</v>
      </c>
      <c r="H1357" s="2" t="s">
        <v>36</v>
      </c>
      <c r="I1357" s="2" t="s">
        <v>3440</v>
      </c>
      <c r="J1357" s="3" t="str">
        <f>HYPERLINK("https://www.boe.es/gazeta/dias/1818/04/28/pdfs/GMD-1818-51.pdf#page=5","Abrir facsímil")</f>
        <v>Abrir facsímil</v>
      </c>
      <c r="K1357" s="3" t="s">
        <v>38</v>
      </c>
    </row>
    <row r="1358" spans="1:11" ht="42" customHeight="1">
      <c r="A1358" s="2" t="s">
        <v>3429</v>
      </c>
      <c r="B1358" s="2" t="s">
        <v>3430</v>
      </c>
      <c r="C1358" s="2" t="s">
        <v>68</v>
      </c>
      <c r="D1358" s="2" t="s">
        <v>69</v>
      </c>
      <c r="E1358" s="5">
        <v>-29827</v>
      </c>
      <c r="F1358" s="3" t="s">
        <v>280</v>
      </c>
      <c r="G1358" s="3" t="s">
        <v>20</v>
      </c>
      <c r="H1358" s="2" t="s">
        <v>36</v>
      </c>
      <c r="I1358" s="2" t="s">
        <v>3441</v>
      </c>
      <c r="J1358" s="3" t="str">
        <f>HYPERLINK("https://www.boe.es/gazeta/dias/1818/05/02/pdfs/GMD-1818-53.pdf#page=7","Abrir facsímil")</f>
        <v>Abrir facsímil</v>
      </c>
      <c r="K1358" s="3" t="s">
        <v>38</v>
      </c>
    </row>
    <row r="1359" spans="1:11" ht="42" customHeight="1">
      <c r="A1359" s="2" t="s">
        <v>3429</v>
      </c>
      <c r="B1359" s="2" t="s">
        <v>3430</v>
      </c>
      <c r="C1359" s="2" t="s">
        <v>68</v>
      </c>
      <c r="D1359" s="2" t="s">
        <v>69</v>
      </c>
      <c r="E1359" s="5">
        <v>-29803</v>
      </c>
      <c r="F1359" s="3" t="s">
        <v>1393</v>
      </c>
      <c r="G1359" s="3" t="s">
        <v>20</v>
      </c>
      <c r="H1359" s="2" t="s">
        <v>36</v>
      </c>
      <c r="I1359" s="2" t="s">
        <v>3442</v>
      </c>
      <c r="J1359" s="3" t="str">
        <f>HYPERLINK("https://www.boe.es/gazeta/dias/1818/05/26/pdfs/GMD-1818-63.pdf#page=7","Abrir facsímil")</f>
        <v>Abrir facsímil</v>
      </c>
      <c r="K1359" s="3" t="s">
        <v>38</v>
      </c>
    </row>
    <row r="1360" spans="1:11" ht="42" customHeight="1">
      <c r="A1360" s="2" t="s">
        <v>3429</v>
      </c>
      <c r="B1360" s="2" t="s">
        <v>3430</v>
      </c>
      <c r="C1360" s="2" t="s">
        <v>68</v>
      </c>
      <c r="D1360" s="2" t="s">
        <v>69</v>
      </c>
      <c r="E1360" s="5">
        <v>-29796</v>
      </c>
      <c r="F1360" s="3" t="s">
        <v>1359</v>
      </c>
      <c r="G1360" s="3" t="s">
        <v>49</v>
      </c>
      <c r="H1360" s="2" t="s">
        <v>36</v>
      </c>
      <c r="I1360" s="2" t="s">
        <v>3443</v>
      </c>
      <c r="J1360" s="3" t="str">
        <f>HYPERLINK("https://www.boe.es/gazeta/dias/1818/06/02/pdfs/GMD-1818-66.pdf#page=1","Abrir facsímil")</f>
        <v>Abrir facsímil</v>
      </c>
      <c r="K1360" s="3" t="s">
        <v>38</v>
      </c>
    </row>
    <row r="1361" spans="1:11" ht="42" customHeight="1">
      <c r="A1361" s="2" t="s">
        <v>3429</v>
      </c>
      <c r="B1361" s="2" t="s">
        <v>3430</v>
      </c>
      <c r="C1361" s="2" t="s">
        <v>68</v>
      </c>
      <c r="D1361" s="2" t="s">
        <v>69</v>
      </c>
      <c r="E1361" s="5">
        <v>-29796</v>
      </c>
      <c r="F1361" s="3" t="s">
        <v>1359</v>
      </c>
      <c r="G1361" s="3" t="s">
        <v>120</v>
      </c>
      <c r="H1361" s="2" t="s">
        <v>36</v>
      </c>
      <c r="I1361" s="2" t="s">
        <v>3444</v>
      </c>
      <c r="J1361" s="3" t="str">
        <f>HYPERLINK("https://www.boe.es/gazeta/dias/1818/06/02/pdfs/GMD-1818-66.pdf#page=2","Abrir facsímil")</f>
        <v>Abrir facsímil</v>
      </c>
      <c r="K1361" s="3" t="s">
        <v>38</v>
      </c>
    </row>
    <row r="1362" spans="1:11" ht="42" customHeight="1">
      <c r="A1362" s="2" t="s">
        <v>3429</v>
      </c>
      <c r="B1362" s="2" t="s">
        <v>3430</v>
      </c>
      <c r="C1362" s="2" t="s">
        <v>26</v>
      </c>
      <c r="D1362" s="2" t="s">
        <v>27</v>
      </c>
      <c r="E1362" s="5">
        <v>-29764</v>
      </c>
      <c r="F1362" s="3" t="s">
        <v>464</v>
      </c>
      <c r="G1362" s="3" t="s">
        <v>59</v>
      </c>
      <c r="H1362" s="2" t="s">
        <v>36</v>
      </c>
      <c r="I1362" s="2" t="s">
        <v>3445</v>
      </c>
      <c r="J1362" s="3" t="str">
        <f>HYPERLINK("https://www.boe.es/gazeta/dias/1818/07/04/pdfs/GMD-1818-80.pdf#page=6","Abrir facsímil")</f>
        <v>Abrir facsímil</v>
      </c>
      <c r="K1362" s="3" t="s">
        <v>38</v>
      </c>
    </row>
    <row r="1363" spans="1:11" ht="42" customHeight="1">
      <c r="A1363" s="2" t="s">
        <v>3429</v>
      </c>
      <c r="B1363" s="2" t="s">
        <v>3430</v>
      </c>
      <c r="C1363" s="2" t="s">
        <v>26</v>
      </c>
      <c r="D1363" s="2" t="s">
        <v>27</v>
      </c>
      <c r="E1363" s="5">
        <v>-29750</v>
      </c>
      <c r="F1363" s="3" t="s">
        <v>384</v>
      </c>
      <c r="G1363" s="3" t="s">
        <v>20</v>
      </c>
      <c r="H1363" s="2" t="s">
        <v>36</v>
      </c>
      <c r="I1363" s="2" t="s">
        <v>3446</v>
      </c>
      <c r="J1363" s="3" t="str">
        <f>HYPERLINK("https://www.boe.es/gazeta/dias/1818/07/18/pdfs/GMD-1818-86.pdf#page=7","Abrir facsímil")</f>
        <v>Abrir facsímil</v>
      </c>
      <c r="K1363" s="3" t="s">
        <v>38</v>
      </c>
    </row>
    <row r="1364" spans="1:11" ht="42" customHeight="1">
      <c r="A1364" s="2" t="s">
        <v>3429</v>
      </c>
      <c r="B1364" s="2" t="s">
        <v>3430</v>
      </c>
      <c r="C1364" s="2" t="s">
        <v>26</v>
      </c>
      <c r="D1364" s="2" t="s">
        <v>27</v>
      </c>
      <c r="E1364" s="5">
        <v>-29710</v>
      </c>
      <c r="F1364" s="3" t="s">
        <v>1026</v>
      </c>
      <c r="G1364" s="3" t="s">
        <v>1027</v>
      </c>
      <c r="H1364" s="2" t="s">
        <v>36</v>
      </c>
      <c r="I1364" s="2" t="s">
        <v>3447</v>
      </c>
      <c r="J1364" s="3" t="str">
        <f>HYPERLINK("https://www.boe.es/gazeta/dias/1818/08/27/pdfs/GMD-1818-103.pdf#page=6","Abrir facsímil")</f>
        <v>Abrir facsímil</v>
      </c>
      <c r="K1364" s="3" t="s">
        <v>38</v>
      </c>
    </row>
    <row r="1365" spans="1:11" ht="42" customHeight="1">
      <c r="A1365" s="2" t="s">
        <v>3429</v>
      </c>
      <c r="B1365" s="2" t="s">
        <v>3430</v>
      </c>
      <c r="C1365" s="2" t="s">
        <v>26</v>
      </c>
      <c r="D1365" s="2" t="s">
        <v>27</v>
      </c>
      <c r="E1365" s="5">
        <v>-29703</v>
      </c>
      <c r="F1365" s="3" t="s">
        <v>294</v>
      </c>
      <c r="G1365" s="3" t="s">
        <v>45</v>
      </c>
      <c r="H1365" s="2" t="s">
        <v>36</v>
      </c>
      <c r="I1365" s="2" t="s">
        <v>3448</v>
      </c>
      <c r="J1365" s="3" t="str">
        <f>HYPERLINK("https://www.boe.es/gazeta/dias/1818/09/03/pdfs/GMD-1818-106.pdf#page=8","Abrir facsímil")</f>
        <v>Abrir facsímil</v>
      </c>
      <c r="K1365" s="3" t="s">
        <v>38</v>
      </c>
    </row>
    <row r="1366" spans="1:11" ht="42" customHeight="1">
      <c r="A1366" s="2" t="s">
        <v>3429</v>
      </c>
      <c r="B1366" s="2" t="s">
        <v>3430</v>
      </c>
      <c r="C1366" s="2" t="s">
        <v>68</v>
      </c>
      <c r="D1366" s="2" t="s">
        <v>69</v>
      </c>
      <c r="E1366" s="5">
        <v>-29642</v>
      </c>
      <c r="F1366" s="3" t="s">
        <v>248</v>
      </c>
      <c r="G1366" s="3" t="s">
        <v>59</v>
      </c>
      <c r="H1366" s="2" t="s">
        <v>36</v>
      </c>
      <c r="I1366" s="2" t="s">
        <v>3449</v>
      </c>
      <c r="J1366" s="3" t="str">
        <f>HYPERLINK("https://www.boe.es/gazeta/dias/1818/11/03/pdfs/GMD-1818-133.pdf#page=6","Abrir facsímil")</f>
        <v>Abrir facsímil</v>
      </c>
      <c r="K1366" s="3" t="s">
        <v>38</v>
      </c>
    </row>
    <row r="1367" spans="1:11" ht="42" customHeight="1">
      <c r="A1367" s="2" t="s">
        <v>3429</v>
      </c>
      <c r="B1367" s="2" t="s">
        <v>3430</v>
      </c>
      <c r="C1367" s="2" t="s">
        <v>68</v>
      </c>
      <c r="D1367" s="2" t="s">
        <v>69</v>
      </c>
      <c r="E1367" s="5">
        <v>-29628</v>
      </c>
      <c r="F1367" s="3" t="s">
        <v>58</v>
      </c>
      <c r="G1367" s="3" t="s">
        <v>20</v>
      </c>
      <c r="H1367" s="2" t="s">
        <v>36</v>
      </c>
      <c r="I1367" s="2" t="s">
        <v>3450</v>
      </c>
      <c r="J1367" s="3" t="str">
        <f>HYPERLINK("https://www.boe.es/gazeta/dias/1818/11/17/pdfs/GMD-1818-139.pdf#page=7","Abrir facsímil")</f>
        <v>Abrir facsímil</v>
      </c>
      <c r="K1367" s="3" t="s">
        <v>38</v>
      </c>
    </row>
    <row r="1368" spans="1:11" ht="42" customHeight="1">
      <c r="A1368" s="2" t="s">
        <v>3451</v>
      </c>
      <c r="B1368" s="2" t="s">
        <v>3452</v>
      </c>
      <c r="C1368" s="2" t="s">
        <v>26</v>
      </c>
      <c r="D1368" s="2" t="s">
        <v>27</v>
      </c>
      <c r="E1368" s="5">
        <v>-29820</v>
      </c>
      <c r="F1368" s="3" t="s">
        <v>2971</v>
      </c>
      <c r="G1368" s="3" t="s">
        <v>106</v>
      </c>
      <c r="H1368" s="2" t="s">
        <v>36</v>
      </c>
      <c r="I1368" s="2" t="s">
        <v>3453</v>
      </c>
      <c r="J1368" s="3" t="str">
        <f>HYPERLINK("https://www.boe.es/gazeta/dias/1818/05/09/pdfs/GMD-1818-56.pdf#page=5","Abrir facsímil")</f>
        <v>Abrir facsímil</v>
      </c>
      <c r="K1368" s="3" t="s">
        <v>38</v>
      </c>
    </row>
    <row r="1369" spans="1:11" ht="42" customHeight="1">
      <c r="A1369" s="2" t="s">
        <v>3454</v>
      </c>
      <c r="B1369" s="2" t="s">
        <v>3455</v>
      </c>
      <c r="C1369" s="2" t="s">
        <v>17</v>
      </c>
      <c r="D1369" s="2" t="s">
        <v>18</v>
      </c>
      <c r="E1369" s="5">
        <v>-29859</v>
      </c>
      <c r="F1369" s="3" t="s">
        <v>3456</v>
      </c>
      <c r="G1369" s="3" t="s">
        <v>106</v>
      </c>
      <c r="H1369" s="2" t="s">
        <v>36</v>
      </c>
      <c r="I1369" s="2" t="s">
        <v>3457</v>
      </c>
      <c r="J1369" s="3" t="str">
        <f>HYPERLINK("https://www.boe.es/gazeta/dias/1818/03/31/pdfs/GMD-1818-39.pdf#page=5","Abrir facsímil")</f>
        <v>Abrir facsímil</v>
      </c>
      <c r="K1369" s="3" t="s">
        <v>38</v>
      </c>
    </row>
    <row r="1370" spans="1:11" ht="42" customHeight="1">
      <c r="A1370" s="2" t="s">
        <v>3458</v>
      </c>
      <c r="B1370" s="2" t="s">
        <v>3459</v>
      </c>
      <c r="C1370" s="2" t="s">
        <v>68</v>
      </c>
      <c r="D1370" s="2" t="s">
        <v>69</v>
      </c>
      <c r="E1370" s="5">
        <v>-29785</v>
      </c>
      <c r="F1370" s="3" t="s">
        <v>1031</v>
      </c>
      <c r="G1370" s="3" t="s">
        <v>106</v>
      </c>
      <c r="H1370" s="2" t="s">
        <v>36</v>
      </c>
      <c r="I1370" s="2" t="s">
        <v>3460</v>
      </c>
      <c r="J1370" s="3" t="str">
        <f>HYPERLINK("https://www.boe.es/gazeta/dias/1818/06/13/pdfs/GMD-1818-71.pdf#page=5","Abrir facsímil")</f>
        <v>Abrir facsímil</v>
      </c>
      <c r="K1370" s="3" t="s">
        <v>38</v>
      </c>
    </row>
    <row r="1371" spans="1:11" ht="42" customHeight="1">
      <c r="A1371" s="2" t="s">
        <v>3461</v>
      </c>
      <c r="B1371" s="2" t="s">
        <v>3462</v>
      </c>
      <c r="C1371" s="2" t="s">
        <v>68</v>
      </c>
      <c r="D1371" s="2" t="s">
        <v>69</v>
      </c>
      <c r="E1371" s="5">
        <v>-29687</v>
      </c>
      <c r="F1371" s="3" t="s">
        <v>686</v>
      </c>
      <c r="G1371" s="3" t="s">
        <v>45</v>
      </c>
      <c r="H1371" s="2" t="s">
        <v>36</v>
      </c>
      <c r="I1371" s="2" t="s">
        <v>3463</v>
      </c>
      <c r="J1371" s="3" t="str">
        <f>HYPERLINK("https://www.boe.es/gazeta/dias/1818/09/19/pdfs/GMD-1818-113.pdf#page=8","Abrir facsímil")</f>
        <v>Abrir facsímil</v>
      </c>
      <c r="K1371" s="3" t="s">
        <v>38</v>
      </c>
    </row>
    <row r="1372" spans="1:11" ht="42" customHeight="1">
      <c r="A1372" s="2" t="s">
        <v>3464</v>
      </c>
      <c r="B1372" s="2" t="s">
        <v>3464</v>
      </c>
      <c r="C1372" s="2" t="s">
        <v>68</v>
      </c>
      <c r="D1372" s="2" t="s">
        <v>69</v>
      </c>
      <c r="E1372" s="5">
        <v>-29717</v>
      </c>
      <c r="F1372" s="3" t="s">
        <v>1644</v>
      </c>
      <c r="G1372" s="3" t="s">
        <v>85</v>
      </c>
      <c r="H1372" s="2" t="s">
        <v>36</v>
      </c>
      <c r="I1372" s="2" t="s">
        <v>3465</v>
      </c>
      <c r="J1372" s="3" t="str">
        <f>HYPERLINK("https://www.boe.es/gazeta/dias/1818/08/20/pdfs/GMD-1818-100.pdf#page=3","Abrir facsímil")</f>
        <v>Abrir facsímil</v>
      </c>
      <c r="K1372" s="3" t="s">
        <v>38</v>
      </c>
    </row>
    <row r="1373" spans="1:11" ht="42" customHeight="1">
      <c r="A1373" s="2" t="s">
        <v>3464</v>
      </c>
      <c r="B1373" s="2" t="s">
        <v>3464</v>
      </c>
      <c r="C1373" s="2" t="s">
        <v>68</v>
      </c>
      <c r="D1373" s="2" t="s">
        <v>69</v>
      </c>
      <c r="E1373" s="5">
        <v>-29607</v>
      </c>
      <c r="F1373" s="3" t="s">
        <v>704</v>
      </c>
      <c r="G1373" s="3" t="s">
        <v>20</v>
      </c>
      <c r="H1373" s="2" t="s">
        <v>36</v>
      </c>
      <c r="I1373" s="2" t="s">
        <v>3466</v>
      </c>
      <c r="J1373" s="3" t="str">
        <f>HYPERLINK("https://www.boe.es/gazeta/dias/1818/12/08/pdfs/GMD-1818-148.pdf#page=7","Abrir facsímil")</f>
        <v>Abrir facsímil</v>
      </c>
      <c r="K1373" s="3" t="s">
        <v>38</v>
      </c>
    </row>
    <row r="1374" spans="1:11" ht="42" customHeight="1">
      <c r="A1374" s="2" t="s">
        <v>3464</v>
      </c>
      <c r="B1374" s="2" t="s">
        <v>3464</v>
      </c>
      <c r="C1374" s="2" t="s">
        <v>26</v>
      </c>
      <c r="D1374" s="2" t="s">
        <v>27</v>
      </c>
      <c r="E1374" s="5">
        <v>-29605</v>
      </c>
      <c r="F1374" s="3" t="s">
        <v>888</v>
      </c>
      <c r="G1374" s="3" t="s">
        <v>106</v>
      </c>
      <c r="H1374" s="2" t="s">
        <v>36</v>
      </c>
      <c r="I1374" s="2" t="s">
        <v>3467</v>
      </c>
      <c r="J1374" s="3" t="str">
        <f>HYPERLINK("https://www.boe.es/gazeta/dias/1818/12/10/pdfs/GMD-1818-149.pdf#page=5","Abrir facsímil")</f>
        <v>Abrir facsímil</v>
      </c>
      <c r="K1374" s="3" t="s">
        <v>38</v>
      </c>
    </row>
    <row r="1375" spans="1:11" ht="42" customHeight="1">
      <c r="A1375" s="2" t="s">
        <v>3468</v>
      </c>
      <c r="B1375" s="2" t="s">
        <v>3469</v>
      </c>
      <c r="C1375" s="2" t="s">
        <v>215</v>
      </c>
      <c r="D1375" s="2" t="s">
        <v>18</v>
      </c>
      <c r="E1375" s="5">
        <v>-29733</v>
      </c>
      <c r="F1375" s="3" t="s">
        <v>482</v>
      </c>
      <c r="G1375" s="3" t="s">
        <v>116</v>
      </c>
      <c r="H1375" s="2" t="s">
        <v>36</v>
      </c>
      <c r="I1375" s="2" t="s">
        <v>3470</v>
      </c>
      <c r="J1375" s="3" t="str">
        <f>HYPERLINK("https://www.boe.es/gazeta/dias/1818/08/04/pdfs/GMD-1818-93.pdf#page=12","Abrir facsímil")</f>
        <v>Abrir facsímil</v>
      </c>
      <c r="K1375" s="3" t="s">
        <v>38</v>
      </c>
    </row>
    <row r="1376" spans="1:11" ht="42" customHeight="1">
      <c r="A1376" s="2" t="s">
        <v>3471</v>
      </c>
      <c r="B1376" s="2" t="s">
        <v>3471</v>
      </c>
      <c r="C1376" s="2" t="s">
        <v>26</v>
      </c>
      <c r="D1376" s="2" t="s">
        <v>27</v>
      </c>
      <c r="E1376" s="5">
        <v>-29703</v>
      </c>
      <c r="F1376" s="3" t="s">
        <v>294</v>
      </c>
      <c r="G1376" s="3" t="s">
        <v>295</v>
      </c>
      <c r="H1376" s="2" t="s">
        <v>36</v>
      </c>
      <c r="I1376" s="2" t="s">
        <v>3472</v>
      </c>
      <c r="J1376" s="3" t="str">
        <f>HYPERLINK("https://www.boe.es/gazeta/dias/1818/09/03/pdfs/GMD-1818-106.pdf#page=5","Abrir facsímil")</f>
        <v>Abrir facsímil</v>
      </c>
      <c r="K1376" s="3" t="s">
        <v>38</v>
      </c>
    </row>
    <row r="1377" spans="1:11" ht="42" customHeight="1">
      <c r="A1377" s="2" t="s">
        <v>3473</v>
      </c>
      <c r="B1377" s="2" t="s">
        <v>3474</v>
      </c>
      <c r="C1377" s="2" t="s">
        <v>26</v>
      </c>
      <c r="D1377" s="2" t="s">
        <v>27</v>
      </c>
      <c r="E1377" s="5">
        <v>-29920</v>
      </c>
      <c r="F1377" s="3" t="s">
        <v>201</v>
      </c>
      <c r="G1377" s="3" t="s">
        <v>116</v>
      </c>
      <c r="H1377" s="2" t="s">
        <v>36</v>
      </c>
      <c r="I1377" s="2" t="s">
        <v>3475</v>
      </c>
      <c r="J1377" s="3" t="str">
        <f>HYPERLINK("https://www.boe.es/gazeta/dias/1818/01/29/pdfs/GMD-1818-13.pdf#page=12","Abrir facsímil")</f>
        <v>Abrir facsímil</v>
      </c>
      <c r="K1377" s="3" t="s">
        <v>38</v>
      </c>
    </row>
    <row r="1378" spans="1:11" ht="42" customHeight="1">
      <c r="A1378" s="2" t="s">
        <v>3476</v>
      </c>
      <c r="B1378" s="2" t="s">
        <v>3477</v>
      </c>
      <c r="C1378" s="2" t="s">
        <v>63</v>
      </c>
      <c r="D1378" s="2" t="s">
        <v>18</v>
      </c>
      <c r="E1378" s="5">
        <v>-29918</v>
      </c>
      <c r="F1378" s="3" t="s">
        <v>89</v>
      </c>
      <c r="G1378" s="3" t="s">
        <v>116</v>
      </c>
      <c r="H1378" s="2" t="s">
        <v>36</v>
      </c>
      <c r="I1378" s="2" t="s">
        <v>3478</v>
      </c>
      <c r="J1378" s="3" t="str">
        <f>HYPERLINK("https://www.boe.es/gazeta/dias/1818/01/31/pdfs/GMD-1818-14.pdf#page=12","Abrir facsímil")</f>
        <v>Abrir facsímil</v>
      </c>
      <c r="K1378" s="3" t="s">
        <v>38</v>
      </c>
    </row>
    <row r="1379" spans="1:11" ht="42" customHeight="1">
      <c r="A1379" s="2" t="s">
        <v>3479</v>
      </c>
      <c r="B1379" s="2" t="s">
        <v>3480</v>
      </c>
      <c r="C1379" s="2" t="s">
        <v>68</v>
      </c>
      <c r="D1379" s="2" t="s">
        <v>69</v>
      </c>
      <c r="E1379" s="5">
        <v>-29941</v>
      </c>
      <c r="F1379" s="3" t="s">
        <v>2259</v>
      </c>
      <c r="G1379" s="3" t="s">
        <v>2871</v>
      </c>
      <c r="H1379" s="2" t="s">
        <v>36</v>
      </c>
      <c r="I1379" s="2" t="s">
        <v>3481</v>
      </c>
      <c r="J1379" s="3" t="str">
        <f>HYPERLINK("https://www.boe.es/gazeta/dias/1818/01/08/pdfs/GMD-1818-4.pdf#page=8","Abrir facsímil")</f>
        <v>Abrir facsímil</v>
      </c>
      <c r="K1379" s="3" t="s">
        <v>38</v>
      </c>
    </row>
    <row r="1380" spans="1:11" ht="42" customHeight="1">
      <c r="A1380" s="2" t="s">
        <v>3482</v>
      </c>
      <c r="B1380" s="2" t="s">
        <v>3483</v>
      </c>
      <c r="C1380" s="2" t="s">
        <v>68</v>
      </c>
      <c r="D1380" s="2" t="s">
        <v>69</v>
      </c>
      <c r="E1380" s="5">
        <v>-29638</v>
      </c>
      <c r="F1380" s="3" t="s">
        <v>307</v>
      </c>
      <c r="G1380" s="3" t="s">
        <v>45</v>
      </c>
      <c r="H1380" s="2" t="s">
        <v>36</v>
      </c>
      <c r="I1380" s="2" t="s">
        <v>3484</v>
      </c>
      <c r="J1380" s="3" t="str">
        <f>HYPERLINK("https://www.boe.es/gazeta/dias/1818/11/07/pdfs/GMD-1818-135.pdf#page=8","Abrir facsímil")</f>
        <v>Abrir facsímil</v>
      </c>
      <c r="K1380" s="3" t="s">
        <v>38</v>
      </c>
    </row>
    <row r="1381" spans="1:11" ht="42" customHeight="1">
      <c r="A1381" s="2" t="s">
        <v>3485</v>
      </c>
      <c r="B1381" s="2" t="s">
        <v>3486</v>
      </c>
      <c r="C1381" s="2" t="s">
        <v>57</v>
      </c>
      <c r="D1381" s="2" t="s">
        <v>18</v>
      </c>
      <c r="E1381" s="5">
        <v>-29806</v>
      </c>
      <c r="F1381" s="3" t="s">
        <v>84</v>
      </c>
      <c r="G1381" s="3" t="s">
        <v>45</v>
      </c>
      <c r="H1381" s="2" t="s">
        <v>36</v>
      </c>
      <c r="I1381" s="2" t="s">
        <v>3487</v>
      </c>
      <c r="J1381" s="3" t="str">
        <f>HYPERLINK("https://www.boe.es/gazeta/dias/1818/05/23/pdfs/GMD-1818-62.pdf#page=8","Abrir facsímil")</f>
        <v>Abrir facsímil</v>
      </c>
      <c r="K1381" s="3" t="s">
        <v>38</v>
      </c>
    </row>
    <row r="1382" spans="1:11" ht="42" customHeight="1">
      <c r="A1382" s="2" t="s">
        <v>3488</v>
      </c>
      <c r="B1382" s="2" t="s">
        <v>3489</v>
      </c>
      <c r="C1382" s="2" t="s">
        <v>33</v>
      </c>
      <c r="D1382" s="2" t="s">
        <v>18</v>
      </c>
      <c r="E1382" s="5">
        <v>-29824</v>
      </c>
      <c r="F1382" s="3" t="s">
        <v>101</v>
      </c>
      <c r="G1382" s="3" t="s">
        <v>20</v>
      </c>
      <c r="H1382" s="2" t="s">
        <v>36</v>
      </c>
      <c r="I1382" s="2" t="s">
        <v>3490</v>
      </c>
      <c r="J1382" s="3" t="str">
        <f>HYPERLINK("https://www.boe.es/gazeta/dias/1818/05/05/pdfs/GMD-1818-54.pdf#page=7","Abrir facsímil")</f>
        <v>Abrir facsímil</v>
      </c>
      <c r="K1382" s="3" t="s">
        <v>38</v>
      </c>
    </row>
    <row r="1383" spans="1:11" ht="42" customHeight="1">
      <c r="A1383" s="2" t="s">
        <v>3491</v>
      </c>
      <c r="B1383" s="2" t="s">
        <v>3492</v>
      </c>
      <c r="C1383" s="2" t="s">
        <v>68</v>
      </c>
      <c r="D1383" s="2" t="s">
        <v>69</v>
      </c>
      <c r="E1383" s="5">
        <v>-29936</v>
      </c>
      <c r="F1383" s="3" t="s">
        <v>398</v>
      </c>
      <c r="G1383" s="3" t="s">
        <v>20</v>
      </c>
      <c r="H1383" s="2" t="s">
        <v>36</v>
      </c>
      <c r="I1383" s="2" t="s">
        <v>3493</v>
      </c>
      <c r="J1383" s="3" t="str">
        <f>HYPERLINK("https://www.boe.es/gazeta/dias/1818/01/13/pdfs/GMD-1818-6.pdf#page=7","Abrir facsímil")</f>
        <v>Abrir facsímil</v>
      </c>
      <c r="K1383" s="3" t="s">
        <v>38</v>
      </c>
    </row>
    <row r="1384" spans="1:11" ht="42" customHeight="1">
      <c r="A1384" s="2" t="s">
        <v>3494</v>
      </c>
      <c r="B1384" s="2" t="s">
        <v>3495</v>
      </c>
      <c r="C1384" s="2" t="s">
        <v>26</v>
      </c>
      <c r="D1384" s="2" t="s">
        <v>27</v>
      </c>
      <c r="E1384" s="5">
        <v>-29612</v>
      </c>
      <c r="F1384" s="3" t="s">
        <v>1765</v>
      </c>
      <c r="G1384" s="3" t="s">
        <v>106</v>
      </c>
      <c r="H1384" s="2" t="s">
        <v>21</v>
      </c>
      <c r="I1384" s="2" t="s">
        <v>3496</v>
      </c>
      <c r="J1384" s="3" t="str">
        <f>HYPERLINK("https://www.boe.es/gazeta/dias/1818/12/03/pdfs/GMD-1818-146.pdf#page=5","Abrir facsímil")</f>
        <v>Abrir facsímil</v>
      </c>
      <c r="K1384" s="3" t="s">
        <v>23</v>
      </c>
    </row>
    <row r="1385" spans="1:11" ht="42" customHeight="1">
      <c r="A1385" s="2" t="s">
        <v>3497</v>
      </c>
      <c r="B1385" s="2" t="s">
        <v>3498</v>
      </c>
      <c r="C1385" s="2" t="s">
        <v>68</v>
      </c>
      <c r="D1385" s="2" t="s">
        <v>69</v>
      </c>
      <c r="E1385" s="5">
        <v>-29673</v>
      </c>
      <c r="F1385" s="3" t="s">
        <v>1099</v>
      </c>
      <c r="G1385" s="3" t="s">
        <v>45</v>
      </c>
      <c r="H1385" s="2" t="s">
        <v>21</v>
      </c>
      <c r="I1385" s="2" t="s">
        <v>3499</v>
      </c>
      <c r="J1385" s="3" t="str">
        <f>HYPERLINK("https://www.boe.es/gazeta/dias/1818/10/03/pdfs/GMD-1818-119.pdf#page=8","Abrir facsímil")</f>
        <v>Abrir facsímil</v>
      </c>
      <c r="K1385" s="3" t="s">
        <v>23</v>
      </c>
    </row>
    <row r="1386" spans="1:11" ht="42" customHeight="1">
      <c r="A1386" s="2" t="s">
        <v>3500</v>
      </c>
      <c r="B1386" s="2" t="s">
        <v>3501</v>
      </c>
      <c r="C1386" s="2" t="s">
        <v>26</v>
      </c>
      <c r="D1386" s="2" t="s">
        <v>27</v>
      </c>
      <c r="E1386" s="5">
        <v>-29857</v>
      </c>
      <c r="F1386" s="3" t="s">
        <v>831</v>
      </c>
      <c r="G1386" s="3" t="s">
        <v>59</v>
      </c>
      <c r="H1386" s="2" t="s">
        <v>36</v>
      </c>
      <c r="I1386" s="2" t="s">
        <v>3502</v>
      </c>
      <c r="J1386" s="3" t="str">
        <f>HYPERLINK("https://www.boe.es/gazeta/dias/1818/04/02/pdfs/GMD-1818-40.pdf#page=6","Abrir facsímil")</f>
        <v>Abrir facsímil</v>
      </c>
      <c r="K1386" s="3" t="s">
        <v>38</v>
      </c>
    </row>
    <row r="1387" spans="1:11" ht="42" customHeight="1">
      <c r="A1387" s="2" t="s">
        <v>3503</v>
      </c>
      <c r="B1387" s="2" t="s">
        <v>3504</v>
      </c>
      <c r="C1387" s="2" t="s">
        <v>26</v>
      </c>
      <c r="D1387" s="2" t="s">
        <v>27</v>
      </c>
      <c r="E1387" s="5">
        <v>-29733</v>
      </c>
      <c r="F1387" s="3" t="s">
        <v>482</v>
      </c>
      <c r="G1387" s="3" t="s">
        <v>106</v>
      </c>
      <c r="H1387" s="2" t="s">
        <v>36</v>
      </c>
      <c r="I1387" s="2" t="s">
        <v>3505</v>
      </c>
      <c r="J1387" s="3" t="str">
        <f>HYPERLINK("https://www.boe.es/gazeta/dias/1818/08/04/pdfs/GMD-1818-93.pdf#page=5","Abrir facsímil")</f>
        <v>Abrir facsímil</v>
      </c>
      <c r="K1387" s="3" t="s">
        <v>38</v>
      </c>
    </row>
    <row r="1388" spans="1:11" ht="42" customHeight="1">
      <c r="A1388" s="2" t="s">
        <v>3506</v>
      </c>
      <c r="B1388" s="2" t="s">
        <v>3507</v>
      </c>
      <c r="C1388" s="2" t="s">
        <v>26</v>
      </c>
      <c r="D1388" s="2" t="s">
        <v>27</v>
      </c>
      <c r="E1388" s="5">
        <v>-29591</v>
      </c>
      <c r="F1388" s="3" t="s">
        <v>1414</v>
      </c>
      <c r="G1388" s="3" t="s">
        <v>20</v>
      </c>
      <c r="H1388" s="2" t="s">
        <v>36</v>
      </c>
      <c r="I1388" s="2" t="s">
        <v>3508</v>
      </c>
      <c r="J1388" s="3" t="str">
        <f>HYPERLINK("https://www.boe.es/gazeta/dias/1818/12/24/pdfs/GMD-1818-155.pdf#page=7","Abrir facsímil")</f>
        <v>Abrir facsímil</v>
      </c>
      <c r="K1388" s="3" t="s">
        <v>38</v>
      </c>
    </row>
    <row r="1389" spans="1:11" ht="42" customHeight="1">
      <c r="A1389" s="2" t="s">
        <v>3509</v>
      </c>
      <c r="B1389" s="2" t="s">
        <v>3510</v>
      </c>
      <c r="C1389" s="2" t="s">
        <v>26</v>
      </c>
      <c r="D1389" s="2" t="s">
        <v>27</v>
      </c>
      <c r="E1389" s="5">
        <v>-29869</v>
      </c>
      <c r="F1389" s="3" t="s">
        <v>140</v>
      </c>
      <c r="G1389" s="3" t="s">
        <v>59</v>
      </c>
      <c r="H1389" s="2" t="s">
        <v>36</v>
      </c>
      <c r="I1389" s="2" t="s">
        <v>3511</v>
      </c>
      <c r="J1389" s="3" t="str">
        <f>HYPERLINK("https://www.boe.es/gazeta/dias/1818/03/21/pdfs/GMD-1818-35.pdf#page=6","Abrir facsímil")</f>
        <v>Abrir facsímil</v>
      </c>
      <c r="K1389" s="3" t="s">
        <v>38</v>
      </c>
    </row>
    <row r="1390" spans="1:11" ht="42" customHeight="1">
      <c r="A1390" s="2" t="s">
        <v>3512</v>
      </c>
      <c r="B1390" s="2" t="s">
        <v>3512</v>
      </c>
      <c r="C1390" s="2" t="s">
        <v>68</v>
      </c>
      <c r="D1390" s="2" t="s">
        <v>69</v>
      </c>
      <c r="E1390" s="5">
        <v>-29834</v>
      </c>
      <c r="F1390" s="3" t="s">
        <v>457</v>
      </c>
      <c r="G1390" s="3" t="s">
        <v>20</v>
      </c>
      <c r="H1390" s="2" t="s">
        <v>36</v>
      </c>
      <c r="I1390" s="2" t="s">
        <v>3513</v>
      </c>
      <c r="J1390" s="3" t="str">
        <f>HYPERLINK("https://www.boe.es/gazeta/dias/1818/04/25/pdfs/GMD-1818-50.pdf#page=7","Abrir facsímil")</f>
        <v>Abrir facsímil</v>
      </c>
      <c r="K1390" s="3" t="s">
        <v>38</v>
      </c>
    </row>
    <row r="1391" spans="1:11" ht="42" customHeight="1">
      <c r="A1391" s="2" t="s">
        <v>3514</v>
      </c>
      <c r="B1391" s="2" t="s">
        <v>3514</v>
      </c>
      <c r="C1391" s="2" t="s">
        <v>26</v>
      </c>
      <c r="D1391" s="2" t="s">
        <v>27</v>
      </c>
      <c r="E1391" s="5">
        <v>-29855</v>
      </c>
      <c r="F1391" s="3" t="s">
        <v>676</v>
      </c>
      <c r="G1391" s="3" t="s">
        <v>3515</v>
      </c>
      <c r="H1391" s="2" t="s">
        <v>36</v>
      </c>
      <c r="I1391" s="2" t="s">
        <v>3516</v>
      </c>
      <c r="J1391" s="3" t="str">
        <f>HYPERLINK("https://www.boe.es/gazeta/dias/1818/04/04/pdfs/GMD-1818-41.pdf#page=3","Abrir facsímil")</f>
        <v>Abrir facsímil</v>
      </c>
      <c r="K1391" s="3" t="s">
        <v>38</v>
      </c>
    </row>
    <row r="1392" spans="1:11" ht="42" customHeight="1">
      <c r="A1392" s="2" t="s">
        <v>3517</v>
      </c>
      <c r="B1392" s="2" t="s">
        <v>3517</v>
      </c>
      <c r="C1392" s="2" t="s">
        <v>26</v>
      </c>
      <c r="D1392" s="2" t="s">
        <v>27</v>
      </c>
      <c r="E1392" s="5">
        <v>-29869</v>
      </c>
      <c r="F1392" s="3" t="s">
        <v>140</v>
      </c>
      <c r="G1392" s="3" t="s">
        <v>59</v>
      </c>
      <c r="H1392" s="2" t="s">
        <v>36</v>
      </c>
      <c r="I1392" s="2" t="s">
        <v>3518</v>
      </c>
      <c r="J1392" s="3" t="str">
        <f>HYPERLINK("https://www.boe.es/gazeta/dias/1818/03/21/pdfs/GMD-1818-35.pdf#page=6","Abrir facsímil")</f>
        <v>Abrir facsímil</v>
      </c>
      <c r="K1392" s="3" t="s">
        <v>38</v>
      </c>
    </row>
    <row r="1393" spans="1:11" ht="42" customHeight="1">
      <c r="A1393" s="2" t="s">
        <v>3519</v>
      </c>
      <c r="B1393" s="2" t="s">
        <v>3519</v>
      </c>
      <c r="C1393" s="2" t="s">
        <v>26</v>
      </c>
      <c r="D1393" s="2" t="s">
        <v>27</v>
      </c>
      <c r="E1393" s="5">
        <v>-29904</v>
      </c>
      <c r="F1393" s="3" t="s">
        <v>451</v>
      </c>
      <c r="G1393" s="3" t="s">
        <v>59</v>
      </c>
      <c r="H1393" s="2" t="s">
        <v>36</v>
      </c>
      <c r="I1393" s="2" t="s">
        <v>3520</v>
      </c>
      <c r="J1393" s="3" t="str">
        <f>HYPERLINK("https://www.boe.es/gazeta/dias/1818/02/14/pdfs/GMD-1818-20.pdf#page=6","Abrir facsímil")</f>
        <v>Abrir facsímil</v>
      </c>
      <c r="K1393" s="3" t="s">
        <v>38</v>
      </c>
    </row>
    <row r="1394" spans="1:11" ht="42" customHeight="1">
      <c r="A1394" s="2" t="s">
        <v>3521</v>
      </c>
      <c r="B1394" s="2" t="s">
        <v>3521</v>
      </c>
      <c r="C1394" s="2" t="s">
        <v>17</v>
      </c>
      <c r="D1394" s="2" t="s">
        <v>18</v>
      </c>
      <c r="E1394" s="5">
        <v>-29631</v>
      </c>
      <c r="F1394" s="3" t="s">
        <v>743</v>
      </c>
      <c r="G1394" s="3" t="s">
        <v>2819</v>
      </c>
      <c r="H1394" s="2" t="s">
        <v>36</v>
      </c>
      <c r="I1394" s="2" t="s">
        <v>3522</v>
      </c>
      <c r="J1394" s="3" t="str">
        <f>HYPERLINK("https://www.boe.es/gazeta/dias/1818/11/14/pdfs/GMD-1818-138.pdf#page=2","Abrir facsímil")</f>
        <v>Abrir facsímil</v>
      </c>
      <c r="K1394" s="3" t="s">
        <v>38</v>
      </c>
    </row>
    <row r="1395" spans="1:11" ht="42" customHeight="1">
      <c r="A1395" s="2" t="s">
        <v>3523</v>
      </c>
      <c r="B1395" s="2" t="s">
        <v>3524</v>
      </c>
      <c r="C1395" s="2" t="s">
        <v>26</v>
      </c>
      <c r="D1395" s="2" t="s">
        <v>27</v>
      </c>
      <c r="E1395" s="5">
        <v>-29750</v>
      </c>
      <c r="F1395" s="3" t="s">
        <v>384</v>
      </c>
      <c r="G1395" s="3" t="s">
        <v>85</v>
      </c>
      <c r="H1395" s="2" t="s">
        <v>36</v>
      </c>
      <c r="I1395" s="2" t="s">
        <v>3525</v>
      </c>
      <c r="J1395" s="3" t="str">
        <f>HYPERLINK("https://www.boe.es/gazeta/dias/1818/07/18/pdfs/GMD-1818-86.pdf#page=3","Abrir facsímil")</f>
        <v>Abrir facsímil</v>
      </c>
      <c r="K1395" s="3" t="s">
        <v>38</v>
      </c>
    </row>
    <row r="1396" spans="1:11" ht="42" customHeight="1">
      <c r="A1396" s="2" t="s">
        <v>3526</v>
      </c>
      <c r="B1396" s="2" t="s">
        <v>3527</v>
      </c>
      <c r="C1396" s="2" t="s">
        <v>57</v>
      </c>
      <c r="D1396" s="2" t="s">
        <v>18</v>
      </c>
      <c r="E1396" s="5">
        <v>-29724</v>
      </c>
      <c r="F1396" s="3" t="s">
        <v>370</v>
      </c>
      <c r="G1396" s="3" t="s">
        <v>106</v>
      </c>
      <c r="H1396" s="2" t="s">
        <v>36</v>
      </c>
      <c r="I1396" s="2" t="s">
        <v>3528</v>
      </c>
      <c r="J1396" s="3" t="str">
        <f>HYPERLINK("https://www.boe.es/gazeta/dias/1818/08/13/pdfs/GMD-1818-97.pdf#page=5","Abrir facsímil")</f>
        <v>Abrir facsímil</v>
      </c>
      <c r="K1396" s="3" t="s">
        <v>38</v>
      </c>
    </row>
    <row r="1397" spans="1:11" ht="42" customHeight="1">
      <c r="A1397" s="2" t="s">
        <v>3529</v>
      </c>
      <c r="B1397" s="2" t="s">
        <v>3529</v>
      </c>
      <c r="C1397" s="2" t="s">
        <v>26</v>
      </c>
      <c r="D1397" s="2" t="s">
        <v>27</v>
      </c>
      <c r="E1397" s="5">
        <v>-29946</v>
      </c>
      <c r="F1397" s="3" t="s">
        <v>724</v>
      </c>
      <c r="G1397" s="3" t="s">
        <v>59</v>
      </c>
      <c r="H1397" s="2" t="s">
        <v>36</v>
      </c>
      <c r="I1397" s="2" t="s">
        <v>3530</v>
      </c>
      <c r="J1397" s="3" t="str">
        <f>HYPERLINK("https://www.boe.es/gazeta/dias/1818/01/03/pdfs/GMD-1818-2.pdf#page=6","Abrir facsímil")</f>
        <v>Abrir facsímil</v>
      </c>
      <c r="K1397" s="3" t="s">
        <v>38</v>
      </c>
    </row>
    <row r="1398" spans="1:11" ht="42" customHeight="1">
      <c r="A1398" s="2" t="s">
        <v>3529</v>
      </c>
      <c r="B1398" s="2" t="s">
        <v>3529</v>
      </c>
      <c r="C1398" s="2" t="s">
        <v>97</v>
      </c>
      <c r="D1398" s="2" t="s">
        <v>18</v>
      </c>
      <c r="E1398" s="5">
        <v>-29803</v>
      </c>
      <c r="F1398" s="3" t="s">
        <v>1393</v>
      </c>
      <c r="G1398" s="3" t="s">
        <v>85</v>
      </c>
      <c r="H1398" s="2" t="s">
        <v>36</v>
      </c>
      <c r="I1398" s="2" t="s">
        <v>3531</v>
      </c>
      <c r="J1398" s="3" t="str">
        <f>HYPERLINK("https://www.boe.es/gazeta/dias/1818/05/26/pdfs/GMD-1818-63.pdf#page=3","Abrir facsímil")</f>
        <v>Abrir facsímil</v>
      </c>
      <c r="K1398" s="3" t="s">
        <v>38</v>
      </c>
    </row>
    <row r="1399" spans="1:11" ht="42" customHeight="1">
      <c r="A1399" s="2" t="s">
        <v>3529</v>
      </c>
      <c r="B1399" s="2" t="s">
        <v>3529</v>
      </c>
      <c r="C1399" s="2" t="s">
        <v>17</v>
      </c>
      <c r="D1399" s="2" t="s">
        <v>18</v>
      </c>
      <c r="E1399" s="5">
        <v>-29761</v>
      </c>
      <c r="F1399" s="3" t="s">
        <v>168</v>
      </c>
      <c r="G1399" s="3" t="s">
        <v>3532</v>
      </c>
      <c r="H1399" s="2" t="s">
        <v>36</v>
      </c>
      <c r="I1399" s="2" t="s">
        <v>3533</v>
      </c>
      <c r="J1399" s="3" t="str">
        <f>HYPERLINK("https://www.boe.es/gazeta/dias/1818/07/07/pdfs/GMD-1818-81.pdf#page=6","Abrir facsímil")</f>
        <v>Abrir facsímil</v>
      </c>
      <c r="K1399" s="3" t="s">
        <v>38</v>
      </c>
    </row>
    <row r="1400" spans="1:11" ht="42" customHeight="1">
      <c r="A1400" s="2" t="s">
        <v>3529</v>
      </c>
      <c r="B1400" s="2" t="s">
        <v>3529</v>
      </c>
      <c r="C1400" s="2" t="s">
        <v>17</v>
      </c>
      <c r="D1400" s="2" t="s">
        <v>18</v>
      </c>
      <c r="E1400" s="5">
        <v>-29682</v>
      </c>
      <c r="F1400" s="3" t="s">
        <v>170</v>
      </c>
      <c r="G1400" s="3" t="s">
        <v>106</v>
      </c>
      <c r="H1400" s="2" t="s">
        <v>36</v>
      </c>
      <c r="I1400" s="2" t="s">
        <v>3534</v>
      </c>
      <c r="J1400" s="3" t="str">
        <f>HYPERLINK("https://www.boe.es/gazeta/dias/1818/09/24/pdfs/GMD-1818-115.pdf#page=5","Abrir facsímil")</f>
        <v>Abrir facsímil</v>
      </c>
      <c r="K1400" s="3" t="s">
        <v>38</v>
      </c>
    </row>
    <row r="1401" spans="1:11" ht="42" customHeight="1">
      <c r="A1401" s="2" t="s">
        <v>3535</v>
      </c>
      <c r="B1401" s="2" t="s">
        <v>3535</v>
      </c>
      <c r="C1401" s="2" t="s">
        <v>26</v>
      </c>
      <c r="D1401" s="2" t="s">
        <v>27</v>
      </c>
      <c r="E1401" s="5">
        <v>-29803</v>
      </c>
      <c r="F1401" s="3" t="s">
        <v>1393</v>
      </c>
      <c r="G1401" s="3" t="s">
        <v>3536</v>
      </c>
      <c r="H1401" s="2" t="s">
        <v>36</v>
      </c>
      <c r="I1401" s="2" t="s">
        <v>3537</v>
      </c>
      <c r="J1401" s="3" t="str">
        <f>HYPERLINK("https://www.boe.es/gazeta/dias/1818/05/26/pdfs/GMD-1818-63.pdf#page=6","Abrir facsímil")</f>
        <v>Abrir facsímil</v>
      </c>
      <c r="K1401" s="3" t="s">
        <v>38</v>
      </c>
    </row>
    <row r="1402" spans="1:11" ht="42" customHeight="1">
      <c r="A1402" s="2" t="s">
        <v>3538</v>
      </c>
      <c r="B1402" s="2" t="s">
        <v>3538</v>
      </c>
      <c r="C1402" s="2" t="s">
        <v>26</v>
      </c>
      <c r="D1402" s="2" t="s">
        <v>27</v>
      </c>
      <c r="E1402" s="5">
        <v>-29906</v>
      </c>
      <c r="F1402" s="3" t="s">
        <v>28</v>
      </c>
      <c r="G1402" s="3" t="s">
        <v>49</v>
      </c>
      <c r="H1402" s="2" t="s">
        <v>36</v>
      </c>
      <c r="I1402" s="2" t="s">
        <v>3539</v>
      </c>
      <c r="J1402" s="3" t="str">
        <f>HYPERLINK("https://www.boe.es/gazeta/dias/1818/02/12/pdfs/GMD-1818-19.pdf#page=1","Abrir facsímil")</f>
        <v>Abrir facsímil</v>
      </c>
      <c r="K1402" s="3" t="s">
        <v>38</v>
      </c>
    </row>
    <row r="1403" spans="1:11" ht="42" customHeight="1">
      <c r="A1403" s="2" t="s">
        <v>3538</v>
      </c>
      <c r="B1403" s="2" t="s">
        <v>3538</v>
      </c>
      <c r="C1403" s="2" t="s">
        <v>215</v>
      </c>
      <c r="D1403" s="2" t="s">
        <v>18</v>
      </c>
      <c r="E1403" s="5">
        <v>-29757</v>
      </c>
      <c r="F1403" s="3" t="s">
        <v>115</v>
      </c>
      <c r="G1403" s="3" t="s">
        <v>49</v>
      </c>
      <c r="H1403" s="2" t="s">
        <v>36</v>
      </c>
      <c r="I1403" s="2" t="s">
        <v>3540</v>
      </c>
      <c r="J1403" s="3" t="str">
        <f>HYPERLINK("https://www.boe.es/gazeta/dias/1818/07/11/pdfs/GMD-1818-83.pdf#page=1","Abrir facsímil")</f>
        <v>Abrir facsímil</v>
      </c>
      <c r="K1403" s="3" t="s">
        <v>38</v>
      </c>
    </row>
    <row r="1404" spans="1:11" ht="42" customHeight="1">
      <c r="A1404" s="2" t="s">
        <v>3541</v>
      </c>
      <c r="B1404" s="2" t="s">
        <v>3542</v>
      </c>
      <c r="C1404" s="2" t="s">
        <v>63</v>
      </c>
      <c r="D1404" s="2" t="s">
        <v>18</v>
      </c>
      <c r="E1404" s="5">
        <v>-29906</v>
      </c>
      <c r="F1404" s="3" t="s">
        <v>28</v>
      </c>
      <c r="G1404" s="3" t="s">
        <v>45</v>
      </c>
      <c r="H1404" s="2" t="s">
        <v>36</v>
      </c>
      <c r="I1404" s="2" t="s">
        <v>3543</v>
      </c>
      <c r="J1404" s="3" t="str">
        <f>HYPERLINK("https://www.boe.es/gazeta/dias/1818/02/12/pdfs/GMD-1818-19.pdf#page=8","Abrir facsímil")</f>
        <v>Abrir facsímil</v>
      </c>
      <c r="K1404" s="3" t="s">
        <v>38</v>
      </c>
    </row>
    <row r="1405" spans="1:11" ht="42" customHeight="1">
      <c r="A1405" s="2" t="s">
        <v>3544</v>
      </c>
      <c r="B1405" s="2" t="s">
        <v>3545</v>
      </c>
      <c r="C1405" s="2" t="s">
        <v>26</v>
      </c>
      <c r="D1405" s="2" t="s">
        <v>27</v>
      </c>
      <c r="E1405" s="5">
        <v>-29806</v>
      </c>
      <c r="F1405" s="3" t="s">
        <v>84</v>
      </c>
      <c r="G1405" s="3" t="s">
        <v>59</v>
      </c>
      <c r="H1405" s="2" t="s">
        <v>21</v>
      </c>
      <c r="I1405" s="2" t="s">
        <v>3546</v>
      </c>
      <c r="J1405" s="3" t="str">
        <f>HYPERLINK("https://www.boe.es/gazeta/dias/1818/05/23/pdfs/GMD-1818-62.pdf#page=6","Abrir facsímil")</f>
        <v>Abrir facsímil</v>
      </c>
      <c r="K1405" s="3" t="s">
        <v>23</v>
      </c>
    </row>
    <row r="1406" spans="1:11" ht="42" customHeight="1">
      <c r="A1406" s="2" t="s">
        <v>3547</v>
      </c>
      <c r="B1406" s="2" t="s">
        <v>3548</v>
      </c>
      <c r="C1406" s="2" t="s">
        <v>26</v>
      </c>
      <c r="D1406" s="2" t="s">
        <v>27</v>
      </c>
      <c r="E1406" s="5">
        <v>-29684</v>
      </c>
      <c r="F1406" s="3" t="s">
        <v>311</v>
      </c>
      <c r="G1406" s="3" t="s">
        <v>59</v>
      </c>
      <c r="H1406" s="2" t="s">
        <v>36</v>
      </c>
      <c r="I1406" s="2" t="s">
        <v>3549</v>
      </c>
      <c r="J1406" s="3" t="str">
        <f>HYPERLINK("https://www.boe.es/gazeta/dias/1818/09/22/pdfs/GMD-1818-114.pdf#page=6","Abrir facsímil")</f>
        <v>Abrir facsímil</v>
      </c>
      <c r="K1406" s="3" t="s">
        <v>38</v>
      </c>
    </row>
    <row r="1407" spans="1:11" ht="42" customHeight="1">
      <c r="A1407" s="2" t="s">
        <v>3550</v>
      </c>
      <c r="B1407" s="2" t="s">
        <v>3551</v>
      </c>
      <c r="C1407" s="2" t="s">
        <v>26</v>
      </c>
      <c r="D1407" s="2" t="s">
        <v>27</v>
      </c>
      <c r="E1407" s="5">
        <v>-29913</v>
      </c>
      <c r="F1407" s="3" t="s">
        <v>449</v>
      </c>
      <c r="G1407" s="3" t="s">
        <v>59</v>
      </c>
      <c r="H1407" s="2" t="s">
        <v>36</v>
      </c>
      <c r="I1407" s="2" t="s">
        <v>3552</v>
      </c>
      <c r="J1407" s="3" t="str">
        <f>HYPERLINK("https://www.boe.es/gazeta/dias/1818/02/05/pdfs/GMD-1818-16.pdf#page=6","Abrir facsímil")</f>
        <v>Abrir facsímil</v>
      </c>
      <c r="K1407" s="3" t="s">
        <v>38</v>
      </c>
    </row>
    <row r="1408" spans="1:11" ht="42" customHeight="1">
      <c r="A1408" s="2" t="s">
        <v>3553</v>
      </c>
      <c r="B1408" s="2" t="s">
        <v>3553</v>
      </c>
      <c r="C1408" s="2" t="s">
        <v>26</v>
      </c>
      <c r="D1408" s="2" t="s">
        <v>27</v>
      </c>
      <c r="E1408" s="5">
        <v>-29810</v>
      </c>
      <c r="F1408" s="3" t="s">
        <v>222</v>
      </c>
      <c r="G1408" s="3" t="s">
        <v>970</v>
      </c>
      <c r="H1408" s="2" t="s">
        <v>36</v>
      </c>
      <c r="I1408" s="2" t="s">
        <v>3554</v>
      </c>
      <c r="J1408" s="3" t="str">
        <f>HYPERLINK("https://www.boe.es/gazeta/dias/1818/05/19/pdfs/GMD-1818-60.pdf#page=7","Abrir facsímil")</f>
        <v>Abrir facsímil</v>
      </c>
      <c r="K1408" s="3" t="s">
        <v>38</v>
      </c>
    </row>
    <row r="1409" spans="1:11" ht="42" customHeight="1">
      <c r="A1409" s="2" t="s">
        <v>3555</v>
      </c>
      <c r="B1409" s="2" t="s">
        <v>3555</v>
      </c>
      <c r="C1409" s="2" t="s">
        <v>17</v>
      </c>
      <c r="D1409" s="2" t="s">
        <v>18</v>
      </c>
      <c r="E1409" s="5">
        <v>-29668</v>
      </c>
      <c r="F1409" s="3" t="s">
        <v>2219</v>
      </c>
      <c r="G1409" s="3" t="s">
        <v>20</v>
      </c>
      <c r="H1409" s="2" t="s">
        <v>36</v>
      </c>
      <c r="I1409" s="2" t="s">
        <v>3556</v>
      </c>
      <c r="J1409" s="3" t="str">
        <f>HYPERLINK("https://www.boe.es/gazeta/dias/1818/10/08/pdfs/GMD-1818-121.pdf#page=7","Abrir facsímil")</f>
        <v>Abrir facsímil</v>
      </c>
      <c r="K1409" s="3" t="s">
        <v>38</v>
      </c>
    </row>
    <row r="1410" spans="1:11" ht="42" customHeight="1">
      <c r="A1410" s="2" t="s">
        <v>3557</v>
      </c>
      <c r="B1410" s="2" t="s">
        <v>3557</v>
      </c>
      <c r="C1410" s="2" t="s">
        <v>33</v>
      </c>
      <c r="D1410" s="2" t="s">
        <v>18</v>
      </c>
      <c r="E1410" s="5">
        <v>-29775</v>
      </c>
      <c r="F1410" s="3" t="s">
        <v>1245</v>
      </c>
      <c r="G1410" s="3" t="s">
        <v>85</v>
      </c>
      <c r="H1410" s="2" t="s">
        <v>36</v>
      </c>
      <c r="I1410" s="2" t="s">
        <v>3558</v>
      </c>
      <c r="J1410" s="3" t="str">
        <f>HYPERLINK("https://www.boe.es/gazeta/dias/1818/06/23/pdfs/GMD-1818-75.pdf#page=3","Abrir facsímil")</f>
        <v>Abrir facsímil</v>
      </c>
      <c r="K1410" s="3" t="s">
        <v>38</v>
      </c>
    </row>
    <row r="1411" spans="1:11" ht="42" customHeight="1">
      <c r="A1411" s="2" t="s">
        <v>3559</v>
      </c>
      <c r="B1411" s="2" t="s">
        <v>3559</v>
      </c>
      <c r="C1411" s="2" t="s">
        <v>26</v>
      </c>
      <c r="D1411" s="2" t="s">
        <v>27</v>
      </c>
      <c r="E1411" s="5">
        <v>-29603</v>
      </c>
      <c r="F1411" s="3" t="s">
        <v>647</v>
      </c>
      <c r="G1411" s="3" t="s">
        <v>29</v>
      </c>
      <c r="H1411" s="2" t="s">
        <v>36</v>
      </c>
      <c r="I1411" s="2" t="s">
        <v>3560</v>
      </c>
      <c r="J1411" s="3" t="str">
        <f>HYPERLINK("https://www.boe.es/gazeta/dias/1818/12/12/pdfs/GMD-1818-150.pdf#page=4","Abrir facsímil")</f>
        <v>Abrir facsímil</v>
      </c>
      <c r="K1411" s="3" t="s">
        <v>38</v>
      </c>
    </row>
    <row r="1412" spans="1:11" ht="42" customHeight="1">
      <c r="A1412" s="2" t="s">
        <v>3561</v>
      </c>
      <c r="B1412" s="2" t="s">
        <v>3562</v>
      </c>
      <c r="C1412" s="2" t="s">
        <v>68</v>
      </c>
      <c r="D1412" s="2" t="s">
        <v>69</v>
      </c>
      <c r="E1412" s="5">
        <v>-29656</v>
      </c>
      <c r="F1412" s="3" t="s">
        <v>601</v>
      </c>
      <c r="G1412" s="3" t="s">
        <v>45</v>
      </c>
      <c r="H1412" s="2" t="s">
        <v>36</v>
      </c>
      <c r="I1412" s="2" t="s">
        <v>3563</v>
      </c>
      <c r="J1412" s="3" t="str">
        <f>HYPERLINK("https://www.boe.es/gazeta/dias/1818/10/20/pdfs/GMD-1818-127.pdf#page=8","Abrir facsímil")</f>
        <v>Abrir facsímil</v>
      </c>
      <c r="K1412" s="3" t="s">
        <v>38</v>
      </c>
    </row>
    <row r="1413" spans="1:11" ht="42" customHeight="1">
      <c r="A1413" s="2" t="s">
        <v>3564</v>
      </c>
      <c r="B1413" s="2" t="s">
        <v>3564</v>
      </c>
      <c r="C1413" s="2" t="s">
        <v>68</v>
      </c>
      <c r="D1413" s="2" t="s">
        <v>69</v>
      </c>
      <c r="E1413" s="5">
        <v>-29771</v>
      </c>
      <c r="F1413" s="3" t="s">
        <v>1260</v>
      </c>
      <c r="G1413" s="3" t="s">
        <v>85</v>
      </c>
      <c r="H1413" s="2" t="s">
        <v>36</v>
      </c>
      <c r="I1413" s="2" t="s">
        <v>3565</v>
      </c>
      <c r="J1413" s="3" t="str">
        <f>HYPERLINK("https://www.boe.es/gazeta/dias/1818/06/27/pdfs/GMD-1818-77.pdf#page=3","Abrir facsímil")</f>
        <v>Abrir facsímil</v>
      </c>
      <c r="K1413" s="3" t="s">
        <v>38</v>
      </c>
    </row>
    <row r="1414" spans="1:11" ht="42" customHeight="1">
      <c r="A1414" s="2" t="s">
        <v>3566</v>
      </c>
      <c r="B1414" s="2" t="s">
        <v>3567</v>
      </c>
      <c r="C1414" s="2" t="s">
        <v>26</v>
      </c>
      <c r="D1414" s="2" t="s">
        <v>27</v>
      </c>
      <c r="E1414" s="5">
        <v>-29918</v>
      </c>
      <c r="F1414" s="3" t="s">
        <v>89</v>
      </c>
      <c r="G1414" s="3" t="s">
        <v>90</v>
      </c>
      <c r="H1414" s="2" t="s">
        <v>36</v>
      </c>
      <c r="I1414" s="2" t="s">
        <v>3568</v>
      </c>
      <c r="J1414" s="3" t="str">
        <f>HYPERLINK("https://www.boe.es/gazeta/dias/1818/01/31/pdfs/GMD-1818-14.pdf#page=10","Abrir facsímil")</f>
        <v>Abrir facsímil</v>
      </c>
      <c r="K1414" s="3" t="s">
        <v>38</v>
      </c>
    </row>
    <row r="1415" spans="1:11" ht="42" customHeight="1">
      <c r="A1415" s="2" t="s">
        <v>3569</v>
      </c>
      <c r="B1415" s="2" t="s">
        <v>3569</v>
      </c>
      <c r="C1415" s="2" t="s">
        <v>26</v>
      </c>
      <c r="D1415" s="2" t="s">
        <v>27</v>
      </c>
      <c r="E1415" s="5">
        <v>-29820</v>
      </c>
      <c r="F1415" s="3" t="s">
        <v>2971</v>
      </c>
      <c r="G1415" s="3" t="s">
        <v>120</v>
      </c>
      <c r="H1415" s="2" t="s">
        <v>36</v>
      </c>
      <c r="I1415" s="2" t="s">
        <v>3570</v>
      </c>
      <c r="J1415" s="3" t="str">
        <f>HYPERLINK("https://www.boe.es/gazeta/dias/1818/05/09/pdfs/GMD-1818-56.pdf#page=2","Abrir facsímil")</f>
        <v>Abrir facsímil</v>
      </c>
      <c r="K1415" s="3" t="s">
        <v>38</v>
      </c>
    </row>
    <row r="1416" spans="1:11" ht="42" customHeight="1">
      <c r="A1416" s="2" t="s">
        <v>3571</v>
      </c>
      <c r="B1416" s="2" t="s">
        <v>3571</v>
      </c>
      <c r="C1416" s="2" t="s">
        <v>26</v>
      </c>
      <c r="D1416" s="2" t="s">
        <v>27</v>
      </c>
      <c r="E1416" s="5">
        <v>-29878</v>
      </c>
      <c r="F1416" s="3" t="s">
        <v>353</v>
      </c>
      <c r="G1416" s="3" t="s">
        <v>106</v>
      </c>
      <c r="H1416" s="2" t="s">
        <v>36</v>
      </c>
      <c r="I1416" s="2" t="s">
        <v>3572</v>
      </c>
      <c r="J1416" s="3" t="str">
        <f>HYPERLINK("https://www.boe.es/gazeta/dias/1818/03/12/pdfs/GMD-1818-31.pdf#page=5","Abrir facsímil")</f>
        <v>Abrir facsímil</v>
      </c>
      <c r="K1416" s="3" t="s">
        <v>38</v>
      </c>
    </row>
    <row r="1417" spans="1:11" ht="42" customHeight="1">
      <c r="A1417" s="2" t="s">
        <v>3573</v>
      </c>
      <c r="B1417" s="2" t="s">
        <v>3574</v>
      </c>
      <c r="C1417" s="2" t="s">
        <v>26</v>
      </c>
      <c r="D1417" s="2" t="s">
        <v>27</v>
      </c>
      <c r="E1417" s="5">
        <v>-29878</v>
      </c>
      <c r="F1417" s="3" t="s">
        <v>353</v>
      </c>
      <c r="G1417" s="3" t="s">
        <v>29</v>
      </c>
      <c r="H1417" s="2" t="s">
        <v>36</v>
      </c>
      <c r="I1417" s="2" t="s">
        <v>3575</v>
      </c>
      <c r="J1417" s="3" t="str">
        <f>HYPERLINK("https://www.boe.es/gazeta/dias/1818/03/12/pdfs/GMD-1818-31.pdf#page=4","Abrir facsímil")</f>
        <v>Abrir facsímil</v>
      </c>
      <c r="K1417" s="3" t="s">
        <v>38</v>
      </c>
    </row>
    <row r="1418" spans="1:11" ht="42" customHeight="1">
      <c r="A1418" s="2" t="s">
        <v>3573</v>
      </c>
      <c r="B1418" s="2" t="s">
        <v>3574</v>
      </c>
      <c r="C1418" s="2" t="s">
        <v>26</v>
      </c>
      <c r="D1418" s="2" t="s">
        <v>27</v>
      </c>
      <c r="E1418" s="5">
        <v>-29878</v>
      </c>
      <c r="F1418" s="3" t="s">
        <v>353</v>
      </c>
      <c r="G1418" s="3" t="s">
        <v>106</v>
      </c>
      <c r="H1418" s="2" t="s">
        <v>36</v>
      </c>
      <c r="I1418" s="2" t="s">
        <v>3576</v>
      </c>
      <c r="J1418" s="3" t="str">
        <f>HYPERLINK("https://www.boe.es/gazeta/dias/1818/03/12/pdfs/GMD-1818-31.pdf#page=5","Abrir facsímil")</f>
        <v>Abrir facsímil</v>
      </c>
      <c r="K1418" s="3" t="s">
        <v>38</v>
      </c>
    </row>
    <row r="1419" spans="1:11" ht="42" customHeight="1">
      <c r="A1419" s="2" t="s">
        <v>3577</v>
      </c>
      <c r="B1419" s="2" t="s">
        <v>3578</v>
      </c>
      <c r="C1419" s="2" t="s">
        <v>26</v>
      </c>
      <c r="D1419" s="2" t="s">
        <v>27</v>
      </c>
      <c r="E1419" s="5">
        <v>-29652</v>
      </c>
      <c r="F1419" s="3" t="s">
        <v>741</v>
      </c>
      <c r="G1419" s="3" t="s">
        <v>29</v>
      </c>
      <c r="H1419" s="2" t="s">
        <v>36</v>
      </c>
      <c r="I1419" s="2" t="s">
        <v>3579</v>
      </c>
      <c r="J1419" s="3" t="str">
        <f>HYPERLINK("https://www.boe.es/gazeta/dias/1818/10/24/pdfs/GMD-1818-129.pdf#page=4","Abrir facsímil")</f>
        <v>Abrir facsímil</v>
      </c>
      <c r="K1419" s="3" t="s">
        <v>38</v>
      </c>
    </row>
    <row r="1420" spans="1:11" ht="42" customHeight="1">
      <c r="A1420" s="2" t="s">
        <v>3580</v>
      </c>
      <c r="B1420" s="2" t="s">
        <v>3581</v>
      </c>
      <c r="C1420" s="2" t="s">
        <v>26</v>
      </c>
      <c r="D1420" s="2" t="s">
        <v>27</v>
      </c>
      <c r="E1420" s="5">
        <v>-29920</v>
      </c>
      <c r="F1420" s="3" t="s">
        <v>201</v>
      </c>
      <c r="G1420" s="3" t="s">
        <v>503</v>
      </c>
      <c r="H1420" s="2" t="s">
        <v>36</v>
      </c>
      <c r="I1420" s="2" t="s">
        <v>3582</v>
      </c>
      <c r="J1420" s="3" t="str">
        <f>HYPERLINK("https://www.boe.es/gazeta/dias/1818/01/29/pdfs/GMD-1818-13.pdf#page=10","Abrir facsímil")</f>
        <v>Abrir facsímil</v>
      </c>
      <c r="K1420" s="3" t="s">
        <v>38</v>
      </c>
    </row>
    <row r="1421" spans="1:11" ht="42" customHeight="1">
      <c r="A1421" s="2" t="s">
        <v>3583</v>
      </c>
      <c r="B1421" s="2" t="s">
        <v>3584</v>
      </c>
      <c r="C1421" s="2" t="s">
        <v>26</v>
      </c>
      <c r="D1421" s="2" t="s">
        <v>27</v>
      </c>
      <c r="E1421" s="5">
        <v>-29626</v>
      </c>
      <c r="F1421" s="3" t="s">
        <v>496</v>
      </c>
      <c r="G1421" s="3" t="s">
        <v>20</v>
      </c>
      <c r="H1421" s="2" t="s">
        <v>36</v>
      </c>
      <c r="I1421" s="2" t="s">
        <v>3585</v>
      </c>
      <c r="J1421" s="3" t="str">
        <f>HYPERLINK("https://www.boe.es/gazeta/dias/1818/11/19/pdfs/GMD-1818-140.pdf#page=7","Abrir facsímil")</f>
        <v>Abrir facsímil</v>
      </c>
      <c r="K1421" s="3" t="s">
        <v>38</v>
      </c>
    </row>
    <row r="1422" spans="1:11" ht="42" customHeight="1">
      <c r="A1422" s="2" t="s">
        <v>3586</v>
      </c>
      <c r="B1422" s="2" t="s">
        <v>3587</v>
      </c>
      <c r="C1422" s="2" t="s">
        <v>26</v>
      </c>
      <c r="D1422" s="2" t="s">
        <v>27</v>
      </c>
      <c r="E1422" s="5">
        <v>-29638</v>
      </c>
      <c r="F1422" s="3" t="s">
        <v>307</v>
      </c>
      <c r="G1422" s="3" t="s">
        <v>3588</v>
      </c>
      <c r="H1422" s="2" t="s">
        <v>36</v>
      </c>
      <c r="I1422" s="2" t="s">
        <v>3589</v>
      </c>
      <c r="J1422" s="3" t="str">
        <f>HYPERLINK("https://www.boe.es/gazeta/dias/1818/11/07/pdfs/GMD-1818-135.pdf#page=5","Abrir facsímil")</f>
        <v>Abrir facsímil</v>
      </c>
      <c r="K1422" s="3" t="s">
        <v>38</v>
      </c>
    </row>
    <row r="1423" spans="1:11" ht="42" customHeight="1">
      <c r="A1423" s="2" t="s">
        <v>3590</v>
      </c>
      <c r="B1423" s="2" t="s">
        <v>3591</v>
      </c>
      <c r="C1423" s="2" t="s">
        <v>26</v>
      </c>
      <c r="D1423" s="2" t="s">
        <v>27</v>
      </c>
      <c r="E1423" s="5">
        <v>-29738</v>
      </c>
      <c r="F1423" s="3" t="s">
        <v>263</v>
      </c>
      <c r="G1423" s="3" t="s">
        <v>45</v>
      </c>
      <c r="H1423" s="2" t="s">
        <v>36</v>
      </c>
      <c r="I1423" s="2" t="s">
        <v>3592</v>
      </c>
      <c r="J1423" s="3" t="str">
        <f>HYPERLINK("https://www.boe.es/gazeta/dias/1818/07/30/pdfs/GMD-1818-91.pdf#page=8","Abrir facsímil")</f>
        <v>Abrir facsímil</v>
      </c>
      <c r="K1423" s="3" t="s">
        <v>38</v>
      </c>
    </row>
    <row r="1424" spans="1:11" ht="42" customHeight="1">
      <c r="A1424" s="2" t="s">
        <v>3593</v>
      </c>
      <c r="B1424" s="2" t="s">
        <v>3594</v>
      </c>
      <c r="C1424" s="2" t="s">
        <v>68</v>
      </c>
      <c r="D1424" s="2" t="s">
        <v>69</v>
      </c>
      <c r="E1424" s="5">
        <v>-29761</v>
      </c>
      <c r="F1424" s="3" t="s">
        <v>168</v>
      </c>
      <c r="G1424" s="3" t="s">
        <v>3532</v>
      </c>
      <c r="H1424" s="2" t="s">
        <v>36</v>
      </c>
      <c r="I1424" s="2" t="s">
        <v>3595</v>
      </c>
      <c r="J1424" s="3" t="str">
        <f>HYPERLINK("https://www.boe.es/gazeta/dias/1818/07/07/pdfs/GMD-1818-81.pdf#page=6","Abrir facsímil")</f>
        <v>Abrir facsímil</v>
      </c>
      <c r="K1424" s="3" t="s">
        <v>38</v>
      </c>
    </row>
    <row r="1425" spans="1:11" ht="42" customHeight="1">
      <c r="A1425" s="2" t="s">
        <v>3596</v>
      </c>
      <c r="B1425" s="2" t="s">
        <v>3596</v>
      </c>
      <c r="C1425" s="2" t="s">
        <v>17</v>
      </c>
      <c r="D1425" s="2" t="s">
        <v>18</v>
      </c>
      <c r="E1425" s="5">
        <v>-29663</v>
      </c>
      <c r="F1425" s="3" t="s">
        <v>1011</v>
      </c>
      <c r="G1425" s="3" t="s">
        <v>59</v>
      </c>
      <c r="H1425" s="2" t="s">
        <v>36</v>
      </c>
      <c r="I1425" s="2" t="s">
        <v>3597</v>
      </c>
      <c r="J1425" s="3" t="str">
        <f>HYPERLINK("https://www.boe.es/gazeta/dias/1818/10/13/pdfs/GMD-1818-123.pdf#page=6","Abrir facsímil")</f>
        <v>Abrir facsímil</v>
      </c>
      <c r="K1425" s="3" t="s">
        <v>38</v>
      </c>
    </row>
    <row r="1426" spans="1:11" ht="42" customHeight="1">
      <c r="A1426" s="2" t="s">
        <v>3598</v>
      </c>
      <c r="B1426" s="2" t="s">
        <v>3599</v>
      </c>
      <c r="C1426" s="2" t="s">
        <v>26</v>
      </c>
      <c r="D1426" s="2" t="s">
        <v>27</v>
      </c>
      <c r="E1426" s="5">
        <v>-29848</v>
      </c>
      <c r="F1426" s="3" t="s">
        <v>571</v>
      </c>
      <c r="G1426" s="3" t="s">
        <v>20</v>
      </c>
      <c r="H1426" s="2" t="s">
        <v>36</v>
      </c>
      <c r="I1426" s="2" t="s">
        <v>3600</v>
      </c>
      <c r="J1426" s="3" t="str">
        <f>HYPERLINK("https://www.boe.es/gazeta/dias/1818/04/11/pdfs/GMD-1818-44.pdf#page=7","Abrir facsímil")</f>
        <v>Abrir facsímil</v>
      </c>
      <c r="K1426" s="3" t="s">
        <v>38</v>
      </c>
    </row>
    <row r="1427" spans="1:11" ht="42" customHeight="1">
      <c r="A1427" s="2" t="s">
        <v>3601</v>
      </c>
      <c r="B1427" s="2" t="s">
        <v>3601</v>
      </c>
      <c r="C1427" s="2" t="s">
        <v>26</v>
      </c>
      <c r="D1427" s="2" t="s">
        <v>27</v>
      </c>
      <c r="E1427" s="5">
        <v>-29948</v>
      </c>
      <c r="F1427" s="3" t="s">
        <v>199</v>
      </c>
      <c r="G1427" s="3" t="s">
        <v>45</v>
      </c>
      <c r="H1427" s="2" t="s">
        <v>36</v>
      </c>
      <c r="I1427" s="2" t="s">
        <v>3602</v>
      </c>
      <c r="J1427" s="3" t="str">
        <f>HYPERLINK("https://www.boe.es/gazeta/dias/1818/01/01/pdfs/GMD-1818-1.pdf#page=8","Abrir facsímil")</f>
        <v>Abrir facsímil</v>
      </c>
      <c r="K1427" s="3" t="s">
        <v>38</v>
      </c>
    </row>
    <row r="1428" spans="1:11" ht="42" customHeight="1">
      <c r="A1428" s="2" t="s">
        <v>3603</v>
      </c>
      <c r="B1428" s="2" t="s">
        <v>3604</v>
      </c>
      <c r="C1428" s="2" t="s">
        <v>17</v>
      </c>
      <c r="D1428" s="2" t="s">
        <v>18</v>
      </c>
      <c r="E1428" s="5">
        <v>-29698</v>
      </c>
      <c r="F1428" s="3" t="s">
        <v>148</v>
      </c>
      <c r="G1428" s="3" t="s">
        <v>20</v>
      </c>
      <c r="H1428" s="2" t="s">
        <v>36</v>
      </c>
      <c r="I1428" s="2" t="s">
        <v>3605</v>
      </c>
      <c r="J1428" s="3" t="str">
        <f>HYPERLINK("https://www.boe.es/gazeta/dias/1818/09/08/pdfs/GMD-1818-108.pdf#page=7","Abrir facsímil")</f>
        <v>Abrir facsímil</v>
      </c>
      <c r="K1428" s="3" t="s">
        <v>38</v>
      </c>
    </row>
    <row r="1429" spans="1:11" ht="42" customHeight="1">
      <c r="A1429" s="2" t="s">
        <v>3606</v>
      </c>
      <c r="B1429" s="2" t="s">
        <v>3607</v>
      </c>
      <c r="C1429" s="2" t="s">
        <v>26</v>
      </c>
      <c r="D1429" s="2" t="s">
        <v>27</v>
      </c>
      <c r="E1429" s="5">
        <v>-29731</v>
      </c>
      <c r="F1429" s="3" t="s">
        <v>299</v>
      </c>
      <c r="G1429" s="3" t="s">
        <v>20</v>
      </c>
      <c r="H1429" s="2" t="s">
        <v>36</v>
      </c>
      <c r="I1429" s="2" t="s">
        <v>3608</v>
      </c>
      <c r="J1429" s="3" t="str">
        <f>HYPERLINK("https://www.boe.es/gazeta/dias/1818/08/06/pdfs/GMD-1818-94.pdf#page=7","Abrir facsímil")</f>
        <v>Abrir facsímil</v>
      </c>
      <c r="K1429" s="3" t="s">
        <v>38</v>
      </c>
    </row>
    <row r="1430" spans="1:11" ht="42" customHeight="1">
      <c r="A1430" s="2" t="s">
        <v>3609</v>
      </c>
      <c r="B1430" s="2" t="s">
        <v>3609</v>
      </c>
      <c r="C1430" s="2" t="s">
        <v>17</v>
      </c>
      <c r="D1430" s="2" t="s">
        <v>18</v>
      </c>
      <c r="E1430" s="5">
        <v>-29876</v>
      </c>
      <c r="F1430" s="3" t="s">
        <v>338</v>
      </c>
      <c r="G1430" s="3" t="s">
        <v>59</v>
      </c>
      <c r="H1430" s="2" t="s">
        <v>36</v>
      </c>
      <c r="I1430" s="2" t="s">
        <v>3610</v>
      </c>
      <c r="J1430" s="3" t="str">
        <f>HYPERLINK("https://www.boe.es/gazeta/dias/1818/03/14/pdfs/GMD-1818-32.pdf#page=6","Abrir facsímil")</f>
        <v>Abrir facsímil</v>
      </c>
      <c r="K1430" s="3" t="s">
        <v>38</v>
      </c>
    </row>
    <row r="1431" spans="1:11" ht="42" customHeight="1">
      <c r="A1431" s="2" t="s">
        <v>3609</v>
      </c>
      <c r="B1431" s="2" t="s">
        <v>3609</v>
      </c>
      <c r="C1431" s="2" t="s">
        <v>97</v>
      </c>
      <c r="D1431" s="2" t="s">
        <v>18</v>
      </c>
      <c r="E1431" s="5">
        <v>-29607</v>
      </c>
      <c r="F1431" s="3" t="s">
        <v>704</v>
      </c>
      <c r="G1431" s="3" t="s">
        <v>2289</v>
      </c>
      <c r="H1431" s="2" t="s">
        <v>36</v>
      </c>
      <c r="I1431" s="2" t="s">
        <v>3611</v>
      </c>
      <c r="J1431" s="3" t="str">
        <f>HYPERLINK("https://www.boe.es/gazeta/dias/1818/12/08/pdfs/GMD-1818-148.pdf#page=8","Abrir facsímil")</f>
        <v>Abrir facsímil</v>
      </c>
      <c r="K1431" s="3" t="s">
        <v>38</v>
      </c>
    </row>
    <row r="1432" spans="1:11" ht="42" customHeight="1">
      <c r="A1432" s="2" t="s">
        <v>3612</v>
      </c>
      <c r="B1432" s="2" t="s">
        <v>3612</v>
      </c>
      <c r="C1432" s="2" t="s">
        <v>68</v>
      </c>
      <c r="D1432" s="2" t="s">
        <v>69</v>
      </c>
      <c r="E1432" s="5">
        <v>-29600</v>
      </c>
      <c r="F1432" s="3" t="s">
        <v>697</v>
      </c>
      <c r="G1432" s="3" t="s">
        <v>59</v>
      </c>
      <c r="H1432" s="2" t="s">
        <v>36</v>
      </c>
      <c r="I1432" s="2" t="s">
        <v>3613</v>
      </c>
      <c r="J1432" s="3" t="str">
        <f>HYPERLINK("https://www.boe.es/gazeta/dias/1818/12/15/pdfs/GMD-1818-151.pdf#page=6","Abrir facsímil")</f>
        <v>Abrir facsímil</v>
      </c>
      <c r="K1432" s="3" t="s">
        <v>38</v>
      </c>
    </row>
    <row r="1433" spans="1:11" ht="42" customHeight="1">
      <c r="A1433" s="2" t="s">
        <v>3614</v>
      </c>
      <c r="B1433" s="2" t="s">
        <v>3614</v>
      </c>
      <c r="C1433" s="2" t="s">
        <v>26</v>
      </c>
      <c r="D1433" s="2" t="s">
        <v>27</v>
      </c>
      <c r="E1433" s="5">
        <v>-29946</v>
      </c>
      <c r="F1433" s="3" t="s">
        <v>724</v>
      </c>
      <c r="G1433" s="3" t="s">
        <v>49</v>
      </c>
      <c r="H1433" s="2" t="s">
        <v>36</v>
      </c>
      <c r="I1433" s="2" t="s">
        <v>3615</v>
      </c>
      <c r="J1433" s="3" t="str">
        <f>HYPERLINK("https://www.boe.es/gazeta/dias/1818/01/03/pdfs/GMD-1818-2.pdf#page=1","Abrir facsímil")</f>
        <v>Abrir facsímil</v>
      </c>
      <c r="K1433" s="3" t="s">
        <v>38</v>
      </c>
    </row>
    <row r="1434" spans="1:11" ht="42" customHeight="1">
      <c r="A1434" s="2" t="s">
        <v>3614</v>
      </c>
      <c r="B1434" s="2" t="s">
        <v>3614</v>
      </c>
      <c r="C1434" s="2" t="s">
        <v>26</v>
      </c>
      <c r="D1434" s="2" t="s">
        <v>27</v>
      </c>
      <c r="E1434" s="5">
        <v>-29766</v>
      </c>
      <c r="F1434" s="3" t="s">
        <v>276</v>
      </c>
      <c r="G1434" s="3" t="s">
        <v>20</v>
      </c>
      <c r="H1434" s="2" t="s">
        <v>36</v>
      </c>
      <c r="I1434" s="2" t="s">
        <v>3616</v>
      </c>
      <c r="J1434" s="3" t="str">
        <f>HYPERLINK("https://www.boe.es/gazeta/dias/1818/07/02/pdfs/GMD-1818-79.pdf#page=7","Abrir facsímil")</f>
        <v>Abrir facsímil</v>
      </c>
      <c r="K1434" s="3" t="s">
        <v>38</v>
      </c>
    </row>
    <row r="1435" spans="1:11" ht="42" customHeight="1">
      <c r="A1435" s="2" t="s">
        <v>3614</v>
      </c>
      <c r="B1435" s="2" t="s">
        <v>3614</v>
      </c>
      <c r="C1435" s="2" t="s">
        <v>68</v>
      </c>
      <c r="D1435" s="2" t="s">
        <v>69</v>
      </c>
      <c r="E1435" s="5">
        <v>-29726</v>
      </c>
      <c r="F1435" s="3" t="s">
        <v>70</v>
      </c>
      <c r="G1435" s="3" t="s">
        <v>106</v>
      </c>
      <c r="H1435" s="2" t="s">
        <v>36</v>
      </c>
      <c r="I1435" s="2" t="s">
        <v>3617</v>
      </c>
      <c r="J1435" s="3" t="str">
        <f>HYPERLINK("https://www.boe.es/gazeta/dias/1818/08/11/pdfs/GMD-1818-96.pdf#page=5","Abrir facsímil")</f>
        <v>Abrir facsímil</v>
      </c>
      <c r="K1435" s="3" t="s">
        <v>38</v>
      </c>
    </row>
    <row r="1436" spans="1:11" ht="42" customHeight="1">
      <c r="A1436" s="2" t="s">
        <v>3618</v>
      </c>
      <c r="B1436" s="2" t="s">
        <v>3618</v>
      </c>
      <c r="C1436" s="2" t="s">
        <v>68</v>
      </c>
      <c r="D1436" s="2" t="s">
        <v>69</v>
      </c>
      <c r="E1436" s="5">
        <v>-29911</v>
      </c>
      <c r="F1436" s="3" t="s">
        <v>509</v>
      </c>
      <c r="G1436" s="3" t="s">
        <v>45</v>
      </c>
      <c r="H1436" s="2" t="s">
        <v>36</v>
      </c>
      <c r="I1436" s="2" t="s">
        <v>3619</v>
      </c>
      <c r="J1436" s="3" t="str">
        <f>HYPERLINK("https://www.boe.es/gazeta/dias/1818/02/07/pdfs/GMD-1818-17.pdf#page=8","Abrir facsímil")</f>
        <v>Abrir facsímil</v>
      </c>
      <c r="K1436" s="3" t="s">
        <v>38</v>
      </c>
    </row>
    <row r="1437" spans="1:11" ht="42" customHeight="1">
      <c r="A1437" s="2" t="s">
        <v>3618</v>
      </c>
      <c r="B1437" s="2" t="s">
        <v>3618</v>
      </c>
      <c r="C1437" s="2" t="s">
        <v>63</v>
      </c>
      <c r="D1437" s="2" t="s">
        <v>18</v>
      </c>
      <c r="E1437" s="5">
        <v>-29829</v>
      </c>
      <c r="F1437" s="3" t="s">
        <v>44</v>
      </c>
      <c r="G1437" s="3" t="s">
        <v>45</v>
      </c>
      <c r="H1437" s="2" t="s">
        <v>36</v>
      </c>
      <c r="I1437" s="2" t="s">
        <v>3620</v>
      </c>
      <c r="J1437" s="3" t="str">
        <f>HYPERLINK("https://www.boe.es/gazeta/dias/1818/04/30/pdfs/GMD-1818-52.pdf#page=8","Abrir facsímil")</f>
        <v>Abrir facsímil</v>
      </c>
      <c r="K1437" s="3" t="s">
        <v>38</v>
      </c>
    </row>
    <row r="1438" spans="1:11" ht="42" customHeight="1">
      <c r="A1438" s="2" t="s">
        <v>3618</v>
      </c>
      <c r="B1438" s="2" t="s">
        <v>3618</v>
      </c>
      <c r="C1438" s="2" t="s">
        <v>68</v>
      </c>
      <c r="D1438" s="2" t="s">
        <v>69</v>
      </c>
      <c r="E1438" s="5">
        <v>-29803</v>
      </c>
      <c r="F1438" s="3" t="s">
        <v>1393</v>
      </c>
      <c r="G1438" s="3" t="s">
        <v>20</v>
      </c>
      <c r="H1438" s="2" t="s">
        <v>36</v>
      </c>
      <c r="I1438" s="2" t="s">
        <v>3621</v>
      </c>
      <c r="J1438" s="3" t="str">
        <f>HYPERLINK("https://www.boe.es/gazeta/dias/1818/05/26/pdfs/GMD-1818-63.pdf#page=7","Abrir facsímil")</f>
        <v>Abrir facsímil</v>
      </c>
      <c r="K1438" s="3" t="s">
        <v>38</v>
      </c>
    </row>
    <row r="1439" spans="1:11" ht="42" customHeight="1">
      <c r="A1439" s="2" t="s">
        <v>3618</v>
      </c>
      <c r="B1439" s="2" t="s">
        <v>3618</v>
      </c>
      <c r="C1439" s="2" t="s">
        <v>57</v>
      </c>
      <c r="D1439" s="2" t="s">
        <v>18</v>
      </c>
      <c r="E1439" s="5">
        <v>-29801</v>
      </c>
      <c r="F1439" s="3" t="s">
        <v>288</v>
      </c>
      <c r="G1439" s="3" t="s">
        <v>49</v>
      </c>
      <c r="H1439" s="2" t="s">
        <v>36</v>
      </c>
      <c r="I1439" s="2" t="s">
        <v>3622</v>
      </c>
      <c r="J1439" s="3" t="str">
        <f>HYPERLINK("https://www.boe.es/gazeta/dias/1818/05/28/pdfs/GMD-1818-64.pdf#page=1","Abrir facsímil")</f>
        <v>Abrir facsímil</v>
      </c>
      <c r="K1439" s="3" t="s">
        <v>38</v>
      </c>
    </row>
    <row r="1440" spans="1:11" ht="42" customHeight="1">
      <c r="A1440" s="2" t="s">
        <v>3618</v>
      </c>
      <c r="B1440" s="2" t="s">
        <v>3618</v>
      </c>
      <c r="C1440" s="2" t="s">
        <v>26</v>
      </c>
      <c r="D1440" s="2" t="s">
        <v>27</v>
      </c>
      <c r="E1440" s="5">
        <v>-29782</v>
      </c>
      <c r="F1440" s="3" t="s">
        <v>226</v>
      </c>
      <c r="G1440" s="3" t="s">
        <v>20</v>
      </c>
      <c r="H1440" s="2" t="s">
        <v>36</v>
      </c>
      <c r="I1440" s="2" t="s">
        <v>3623</v>
      </c>
      <c r="J1440" s="3" t="str">
        <f>HYPERLINK("https://www.boe.es/gazeta/dias/1818/06/16/pdfs/GMD-1818-72.pdf#page=7","Abrir facsímil")</f>
        <v>Abrir facsímil</v>
      </c>
      <c r="K1440" s="3" t="s">
        <v>38</v>
      </c>
    </row>
    <row r="1441" spans="1:11" ht="42" customHeight="1">
      <c r="A1441" s="2" t="s">
        <v>3618</v>
      </c>
      <c r="B1441" s="2" t="s">
        <v>3618</v>
      </c>
      <c r="C1441" s="2" t="s">
        <v>33</v>
      </c>
      <c r="D1441" s="2" t="s">
        <v>18</v>
      </c>
      <c r="E1441" s="5">
        <v>-29750</v>
      </c>
      <c r="F1441" s="3" t="s">
        <v>384</v>
      </c>
      <c r="G1441" s="3" t="s">
        <v>59</v>
      </c>
      <c r="H1441" s="2" t="s">
        <v>36</v>
      </c>
      <c r="I1441" s="2" t="s">
        <v>3624</v>
      </c>
      <c r="J1441" s="3" t="str">
        <f>HYPERLINK("https://www.boe.es/gazeta/dias/1818/07/18/pdfs/GMD-1818-86.pdf#page=6","Abrir facsímil")</f>
        <v>Abrir facsímil</v>
      </c>
      <c r="K1441" s="3" t="s">
        <v>38</v>
      </c>
    </row>
    <row r="1442" spans="1:11" ht="42" customHeight="1">
      <c r="A1442" s="2" t="s">
        <v>3625</v>
      </c>
      <c r="B1442" s="2" t="s">
        <v>3626</v>
      </c>
      <c r="C1442" s="2" t="s">
        <v>17</v>
      </c>
      <c r="D1442" s="2" t="s">
        <v>18</v>
      </c>
      <c r="E1442" s="5">
        <v>-29934</v>
      </c>
      <c r="F1442" s="3" t="s">
        <v>53</v>
      </c>
      <c r="G1442" s="3" t="s">
        <v>20</v>
      </c>
      <c r="H1442" s="2" t="s">
        <v>36</v>
      </c>
      <c r="I1442" s="2" t="s">
        <v>3627</v>
      </c>
      <c r="J1442" s="3" t="str">
        <f>HYPERLINK("https://www.boe.es/gazeta/dias/1818/01/15/pdfs/GMD-1818-7.pdf#page=7","Abrir facsímil")</f>
        <v>Abrir facsímil</v>
      </c>
      <c r="K1442" s="3" t="s">
        <v>38</v>
      </c>
    </row>
    <row r="1443" spans="1:11" ht="42" customHeight="1">
      <c r="A1443" s="2" t="s">
        <v>3628</v>
      </c>
      <c r="B1443" s="2" t="s">
        <v>3629</v>
      </c>
      <c r="C1443" s="2" t="s">
        <v>26</v>
      </c>
      <c r="D1443" s="2" t="s">
        <v>27</v>
      </c>
      <c r="E1443" s="5">
        <v>-29883</v>
      </c>
      <c r="F1443" s="3" t="s">
        <v>823</v>
      </c>
      <c r="G1443" s="3" t="s">
        <v>20</v>
      </c>
      <c r="H1443" s="2" t="s">
        <v>36</v>
      </c>
      <c r="I1443" s="2" t="s">
        <v>3630</v>
      </c>
      <c r="J1443" s="3" t="str">
        <f>HYPERLINK("https://www.boe.es/gazeta/dias/1818/03/07/pdfs/GMD-1818-29.pdf#page=7","Abrir facsímil")</f>
        <v>Abrir facsímil</v>
      </c>
      <c r="K1443" s="3" t="s">
        <v>38</v>
      </c>
    </row>
    <row r="1444" spans="1:11" ht="42" customHeight="1">
      <c r="A1444" s="2" t="s">
        <v>3631</v>
      </c>
      <c r="B1444" s="2" t="s">
        <v>3632</v>
      </c>
      <c r="C1444" s="2" t="s">
        <v>33</v>
      </c>
      <c r="D1444" s="2" t="s">
        <v>18</v>
      </c>
      <c r="E1444" s="5">
        <v>-29668</v>
      </c>
      <c r="F1444" s="3" t="s">
        <v>2219</v>
      </c>
      <c r="G1444" s="3" t="s">
        <v>20</v>
      </c>
      <c r="H1444" s="2" t="s">
        <v>36</v>
      </c>
      <c r="I1444" s="2" t="s">
        <v>3633</v>
      </c>
      <c r="J1444" s="3" t="str">
        <f>HYPERLINK("https://www.boe.es/gazeta/dias/1818/10/08/pdfs/GMD-1818-121.pdf#page=7","Abrir facsímil")</f>
        <v>Abrir facsímil</v>
      </c>
      <c r="K1444" s="3" t="s">
        <v>38</v>
      </c>
    </row>
    <row r="1445" spans="1:11" ht="42" customHeight="1">
      <c r="A1445" s="2" t="s">
        <v>3634</v>
      </c>
      <c r="B1445" s="2" t="s">
        <v>3635</v>
      </c>
      <c r="C1445" s="2" t="s">
        <v>17</v>
      </c>
      <c r="D1445" s="2" t="s">
        <v>18</v>
      </c>
      <c r="E1445" s="5">
        <v>-29775</v>
      </c>
      <c r="F1445" s="3" t="s">
        <v>1245</v>
      </c>
      <c r="G1445" s="3" t="s">
        <v>20</v>
      </c>
      <c r="H1445" s="2" t="s">
        <v>36</v>
      </c>
      <c r="I1445" s="2" t="s">
        <v>3636</v>
      </c>
      <c r="J1445" s="3" t="str">
        <f>HYPERLINK("https://www.boe.es/gazeta/dias/1818/06/23/pdfs/GMD-1818-75.pdf#page=7","Abrir facsímil")</f>
        <v>Abrir facsímil</v>
      </c>
      <c r="K1445" s="3" t="s">
        <v>38</v>
      </c>
    </row>
    <row r="1446" spans="1:11" ht="42" customHeight="1">
      <c r="A1446" s="2" t="s">
        <v>3637</v>
      </c>
      <c r="B1446" s="2" t="s">
        <v>3638</v>
      </c>
      <c r="C1446" s="2" t="s">
        <v>68</v>
      </c>
      <c r="D1446" s="2" t="s">
        <v>69</v>
      </c>
      <c r="E1446" s="5">
        <v>-29866</v>
      </c>
      <c r="F1446" s="3" t="s">
        <v>828</v>
      </c>
      <c r="G1446" s="3" t="s">
        <v>20</v>
      </c>
      <c r="H1446" s="2" t="s">
        <v>36</v>
      </c>
      <c r="I1446" s="2" t="s">
        <v>3639</v>
      </c>
      <c r="J1446" s="3" t="str">
        <f>HYPERLINK("https://www.boe.es/gazeta/dias/1818/03/24/pdfs/GMD-1818-36.pdf#page=7","Abrir facsímil")</f>
        <v>Abrir facsímil</v>
      </c>
      <c r="K1446" s="3" t="s">
        <v>38</v>
      </c>
    </row>
    <row r="1447" spans="1:11" ht="42" customHeight="1">
      <c r="A1447" s="2" t="s">
        <v>3640</v>
      </c>
      <c r="B1447" s="2" t="s">
        <v>3640</v>
      </c>
      <c r="C1447" s="2" t="s">
        <v>26</v>
      </c>
      <c r="D1447" s="2" t="s">
        <v>27</v>
      </c>
      <c r="E1447" s="5">
        <v>-29922</v>
      </c>
      <c r="F1447" s="3" t="s">
        <v>174</v>
      </c>
      <c r="G1447" s="3" t="s">
        <v>812</v>
      </c>
      <c r="H1447" s="2" t="s">
        <v>36</v>
      </c>
      <c r="I1447" s="2" t="s">
        <v>3641</v>
      </c>
      <c r="J1447" s="3" t="str">
        <f>HYPERLINK("https://www.boe.es/gazeta/dias/1818/01/27/pdfs/GMD-1818-12.pdf#page=4","Abrir facsímil")</f>
        <v>Abrir facsímil</v>
      </c>
      <c r="K1447" s="3" t="s">
        <v>38</v>
      </c>
    </row>
    <row r="1448" spans="1:11" ht="42" customHeight="1">
      <c r="A1448" s="2" t="s">
        <v>3642</v>
      </c>
      <c r="B1448" s="2" t="s">
        <v>3643</v>
      </c>
      <c r="C1448" s="2" t="s">
        <v>26</v>
      </c>
      <c r="D1448" s="2" t="s">
        <v>27</v>
      </c>
      <c r="E1448" s="5">
        <v>-29883</v>
      </c>
      <c r="F1448" s="3" t="s">
        <v>823</v>
      </c>
      <c r="G1448" s="3" t="s">
        <v>20</v>
      </c>
      <c r="H1448" s="2" t="s">
        <v>36</v>
      </c>
      <c r="I1448" s="2" t="s">
        <v>3644</v>
      </c>
      <c r="J1448" s="3" t="str">
        <f>HYPERLINK("https://www.boe.es/gazeta/dias/1818/03/07/pdfs/GMD-1818-29.pdf#page=7","Abrir facsímil")</f>
        <v>Abrir facsímil</v>
      </c>
      <c r="K1448" s="3" t="s">
        <v>38</v>
      </c>
    </row>
    <row r="1449" spans="1:11" ht="42" customHeight="1">
      <c r="A1449" s="2" t="s">
        <v>3645</v>
      </c>
      <c r="B1449" s="2" t="s">
        <v>3646</v>
      </c>
      <c r="C1449" s="2" t="s">
        <v>33</v>
      </c>
      <c r="D1449" s="2" t="s">
        <v>18</v>
      </c>
      <c r="E1449" s="5">
        <v>-29750</v>
      </c>
      <c r="F1449" s="3" t="s">
        <v>384</v>
      </c>
      <c r="G1449" s="3" t="s">
        <v>662</v>
      </c>
      <c r="H1449" s="2" t="s">
        <v>36</v>
      </c>
      <c r="I1449" s="2" t="s">
        <v>3647</v>
      </c>
      <c r="J1449" s="3" t="str">
        <f>HYPERLINK("https://www.boe.es/gazeta/dias/1818/07/18/pdfs/GMD-1818-86.pdf#page=5","Abrir facsímil")</f>
        <v>Abrir facsímil</v>
      </c>
      <c r="K1449" s="3" t="s">
        <v>38</v>
      </c>
    </row>
    <row r="1450" spans="1:11" ht="42" customHeight="1">
      <c r="A1450" s="2" t="s">
        <v>3648</v>
      </c>
      <c r="B1450" s="2" t="s">
        <v>3649</v>
      </c>
      <c r="C1450" s="2" t="s">
        <v>17</v>
      </c>
      <c r="D1450" s="2" t="s">
        <v>18</v>
      </c>
      <c r="E1450" s="5">
        <v>-29932</v>
      </c>
      <c r="F1450" s="3" t="s">
        <v>34</v>
      </c>
      <c r="G1450" s="3" t="s">
        <v>35</v>
      </c>
      <c r="H1450" s="2" t="s">
        <v>36</v>
      </c>
      <c r="I1450" s="2" t="s">
        <v>3650</v>
      </c>
      <c r="J1450" s="3" t="str">
        <f>HYPERLINK("https://www.boe.es/gazeta/dias/1818/01/17/pdfs/GMD-1818-8.pdf#page=8","Abrir facsímil")</f>
        <v>Abrir facsímil</v>
      </c>
      <c r="K1450" s="3" t="s">
        <v>38</v>
      </c>
    </row>
    <row r="1451" spans="1:11" ht="42" customHeight="1">
      <c r="A1451" s="2" t="s">
        <v>3651</v>
      </c>
      <c r="B1451" s="2" t="s">
        <v>3652</v>
      </c>
      <c r="C1451" s="2" t="s">
        <v>68</v>
      </c>
      <c r="D1451" s="2" t="s">
        <v>69</v>
      </c>
      <c r="E1451" s="5">
        <v>-29915</v>
      </c>
      <c r="F1451" s="3" t="s">
        <v>429</v>
      </c>
      <c r="G1451" s="3" t="s">
        <v>20</v>
      </c>
      <c r="H1451" s="2" t="s">
        <v>36</v>
      </c>
      <c r="I1451" s="2" t="s">
        <v>3653</v>
      </c>
      <c r="J1451" s="3" t="str">
        <f>HYPERLINK("https://www.boe.es/gazeta/dias/1818/02/03/pdfs/GMD-1818-15.pdf#page=7","Abrir facsímil")</f>
        <v>Abrir facsímil</v>
      </c>
      <c r="K1451" s="3" t="s">
        <v>38</v>
      </c>
    </row>
    <row r="1452" spans="1:11" ht="42" customHeight="1">
      <c r="A1452" s="2" t="s">
        <v>3651</v>
      </c>
      <c r="B1452" s="2" t="s">
        <v>3652</v>
      </c>
      <c r="C1452" s="2" t="s">
        <v>26</v>
      </c>
      <c r="D1452" s="2" t="s">
        <v>27</v>
      </c>
      <c r="E1452" s="5">
        <v>-29869</v>
      </c>
      <c r="F1452" s="3" t="s">
        <v>140</v>
      </c>
      <c r="G1452" s="3" t="s">
        <v>106</v>
      </c>
      <c r="H1452" s="2" t="s">
        <v>36</v>
      </c>
      <c r="I1452" s="2" t="s">
        <v>3654</v>
      </c>
      <c r="J1452" s="3" t="str">
        <f>HYPERLINK("https://www.boe.es/gazeta/dias/1818/03/21/pdfs/GMD-1818-35.pdf#page=5","Abrir facsímil")</f>
        <v>Abrir facsímil</v>
      </c>
      <c r="K1452" s="3" t="s">
        <v>38</v>
      </c>
    </row>
    <row r="1453" spans="1:11" ht="42" customHeight="1">
      <c r="A1453" s="2" t="s">
        <v>3655</v>
      </c>
      <c r="B1453" s="2" t="s">
        <v>3656</v>
      </c>
      <c r="C1453" s="2" t="s">
        <v>68</v>
      </c>
      <c r="D1453" s="2" t="s">
        <v>69</v>
      </c>
      <c r="E1453" s="5">
        <v>-29939</v>
      </c>
      <c r="F1453" s="3" t="s">
        <v>110</v>
      </c>
      <c r="G1453" s="3" t="s">
        <v>116</v>
      </c>
      <c r="H1453" s="2" t="s">
        <v>36</v>
      </c>
      <c r="I1453" s="2" t="s">
        <v>3657</v>
      </c>
      <c r="J1453" s="3" t="str">
        <f>HYPERLINK("https://www.boe.es/gazeta/dias/1818/01/10/pdfs/GMD-1818-5.pdf#page=12","Abrir facsímil")</f>
        <v>Abrir facsímil</v>
      </c>
      <c r="K1453" s="3" t="s">
        <v>38</v>
      </c>
    </row>
    <row r="1454" spans="1:11" ht="42" customHeight="1">
      <c r="A1454" s="2" t="s">
        <v>3655</v>
      </c>
      <c r="B1454" s="2" t="s">
        <v>3656</v>
      </c>
      <c r="C1454" s="2" t="s">
        <v>26</v>
      </c>
      <c r="D1454" s="2" t="s">
        <v>27</v>
      </c>
      <c r="E1454" s="5">
        <v>-29936</v>
      </c>
      <c r="F1454" s="3" t="s">
        <v>398</v>
      </c>
      <c r="G1454" s="3" t="s">
        <v>20</v>
      </c>
      <c r="H1454" s="2" t="s">
        <v>36</v>
      </c>
      <c r="I1454" s="2" t="s">
        <v>3658</v>
      </c>
      <c r="J1454" s="3" t="str">
        <f>HYPERLINK("https://www.boe.es/gazeta/dias/1818/01/13/pdfs/GMD-1818-6.pdf#page=7","Abrir facsímil")</f>
        <v>Abrir facsímil</v>
      </c>
      <c r="K1454" s="3" t="s">
        <v>38</v>
      </c>
    </row>
    <row r="1455" spans="1:11" ht="42" customHeight="1">
      <c r="A1455" s="2" t="s">
        <v>3655</v>
      </c>
      <c r="B1455" s="2" t="s">
        <v>3656</v>
      </c>
      <c r="C1455" s="2" t="s">
        <v>68</v>
      </c>
      <c r="D1455" s="2" t="s">
        <v>69</v>
      </c>
      <c r="E1455" s="5">
        <v>-29936</v>
      </c>
      <c r="F1455" s="3" t="s">
        <v>398</v>
      </c>
      <c r="G1455" s="3" t="s">
        <v>45</v>
      </c>
      <c r="H1455" s="2" t="s">
        <v>36</v>
      </c>
      <c r="I1455" s="2" t="s">
        <v>3659</v>
      </c>
      <c r="J1455" s="3" t="str">
        <f>HYPERLINK("https://www.boe.es/gazeta/dias/1818/01/13/pdfs/GMD-1818-6.pdf#page=8","Abrir facsímil")</f>
        <v>Abrir facsímil</v>
      </c>
      <c r="K1455" s="3" t="s">
        <v>38</v>
      </c>
    </row>
    <row r="1456" spans="1:11" ht="42" customHeight="1">
      <c r="A1456" s="2" t="s">
        <v>3655</v>
      </c>
      <c r="B1456" s="2" t="s">
        <v>3656</v>
      </c>
      <c r="C1456" s="2" t="s">
        <v>63</v>
      </c>
      <c r="D1456" s="2" t="s">
        <v>18</v>
      </c>
      <c r="E1456" s="5">
        <v>-29913</v>
      </c>
      <c r="F1456" s="3" t="s">
        <v>449</v>
      </c>
      <c r="G1456" s="3" t="s">
        <v>45</v>
      </c>
      <c r="H1456" s="2" t="s">
        <v>36</v>
      </c>
      <c r="I1456" s="2" t="s">
        <v>3660</v>
      </c>
      <c r="J1456" s="3" t="str">
        <f>HYPERLINK("https://www.boe.es/gazeta/dias/1818/02/05/pdfs/GMD-1818-16.pdf#page=8","Abrir facsímil")</f>
        <v>Abrir facsímil</v>
      </c>
      <c r="K1456" s="3" t="s">
        <v>38</v>
      </c>
    </row>
    <row r="1457" spans="1:11" ht="42" customHeight="1">
      <c r="A1457" s="2" t="s">
        <v>3655</v>
      </c>
      <c r="B1457" s="2" t="s">
        <v>3656</v>
      </c>
      <c r="C1457" s="2" t="s">
        <v>68</v>
      </c>
      <c r="D1457" s="2" t="s">
        <v>69</v>
      </c>
      <c r="E1457" s="5">
        <v>-29892</v>
      </c>
      <c r="F1457" s="3" t="s">
        <v>39</v>
      </c>
      <c r="G1457" s="3" t="s">
        <v>40</v>
      </c>
      <c r="H1457" s="2" t="s">
        <v>36</v>
      </c>
      <c r="I1457" s="2" t="s">
        <v>3661</v>
      </c>
      <c r="J1457" s="3" t="str">
        <f>HYPERLINK("https://www.boe.es/gazeta/dias/1818/02/26/pdfs/GMD-1818-25.pdf#page=8","Abrir facsímil")</f>
        <v>Abrir facsímil</v>
      </c>
      <c r="K1457" s="3" t="s">
        <v>38</v>
      </c>
    </row>
    <row r="1458" spans="1:11" ht="42" customHeight="1">
      <c r="A1458" s="2" t="s">
        <v>3662</v>
      </c>
      <c r="B1458" s="2" t="s">
        <v>3663</v>
      </c>
      <c r="C1458" s="2" t="s">
        <v>68</v>
      </c>
      <c r="D1458" s="2" t="s">
        <v>69</v>
      </c>
      <c r="E1458" s="5">
        <v>-29838</v>
      </c>
      <c r="F1458" s="3" t="s">
        <v>593</v>
      </c>
      <c r="G1458" s="3" t="s">
        <v>45</v>
      </c>
      <c r="H1458" s="2" t="s">
        <v>36</v>
      </c>
      <c r="I1458" s="2" t="s">
        <v>3664</v>
      </c>
      <c r="J1458" s="3" t="str">
        <f>HYPERLINK("https://www.boe.es/gazeta/dias/1818/04/21/pdfs/GMD-1818-48.pdf#page=8","Abrir facsímil")</f>
        <v>Abrir facsímil</v>
      </c>
      <c r="K1458" s="3" t="s">
        <v>38</v>
      </c>
    </row>
    <row r="1459" spans="1:11" ht="42" customHeight="1">
      <c r="A1459" s="2" t="s">
        <v>3655</v>
      </c>
      <c r="B1459" s="2" t="s">
        <v>3656</v>
      </c>
      <c r="C1459" s="2" t="s">
        <v>33</v>
      </c>
      <c r="D1459" s="2" t="s">
        <v>18</v>
      </c>
      <c r="E1459" s="5">
        <v>-29820</v>
      </c>
      <c r="F1459" s="3" t="s">
        <v>2971</v>
      </c>
      <c r="G1459" s="3" t="s">
        <v>20</v>
      </c>
      <c r="H1459" s="2" t="s">
        <v>36</v>
      </c>
      <c r="I1459" s="2" t="s">
        <v>3665</v>
      </c>
      <c r="J1459" s="3" t="str">
        <f>HYPERLINK("https://www.boe.es/gazeta/dias/1818/05/09/pdfs/GMD-1818-56.pdf#page=7","Abrir facsímil")</f>
        <v>Abrir facsímil</v>
      </c>
      <c r="K1459" s="3" t="s">
        <v>38</v>
      </c>
    </row>
    <row r="1460" spans="1:11" ht="42" customHeight="1">
      <c r="A1460" s="2" t="s">
        <v>3655</v>
      </c>
      <c r="B1460" s="2" t="s">
        <v>3656</v>
      </c>
      <c r="C1460" s="2" t="s">
        <v>68</v>
      </c>
      <c r="D1460" s="2" t="s">
        <v>69</v>
      </c>
      <c r="E1460" s="5">
        <v>-29813</v>
      </c>
      <c r="F1460" s="3" t="s">
        <v>839</v>
      </c>
      <c r="G1460" s="3" t="s">
        <v>20</v>
      </c>
      <c r="H1460" s="2" t="s">
        <v>36</v>
      </c>
      <c r="I1460" s="2" t="s">
        <v>3666</v>
      </c>
      <c r="J1460" s="3" t="str">
        <f>HYPERLINK("https://www.boe.es/gazeta/dias/1818/05/16/pdfs/GMD-1818-59.pdf#page=7","Abrir facsímil")</f>
        <v>Abrir facsímil</v>
      </c>
      <c r="K1460" s="3" t="s">
        <v>38</v>
      </c>
    </row>
    <row r="1461" spans="1:11" ht="42" customHeight="1">
      <c r="A1461" s="2" t="s">
        <v>3655</v>
      </c>
      <c r="B1461" s="2" t="s">
        <v>3656</v>
      </c>
      <c r="C1461" s="2" t="s">
        <v>97</v>
      </c>
      <c r="D1461" s="2" t="s">
        <v>18</v>
      </c>
      <c r="E1461" s="5">
        <v>-29808</v>
      </c>
      <c r="F1461" s="3" t="s">
        <v>80</v>
      </c>
      <c r="G1461" s="3" t="s">
        <v>2556</v>
      </c>
      <c r="H1461" s="2" t="s">
        <v>36</v>
      </c>
      <c r="I1461" s="2" t="s">
        <v>3667</v>
      </c>
      <c r="J1461" s="3" t="str">
        <f>HYPERLINK("https://www.boe.es/gazeta/dias/1818/05/21/pdfs/GMD-1818-61.pdf#page=8","Abrir facsímil")</f>
        <v>Abrir facsímil</v>
      </c>
      <c r="K1461" s="3" t="s">
        <v>38</v>
      </c>
    </row>
    <row r="1462" spans="1:11" ht="42" customHeight="1">
      <c r="A1462" s="2" t="s">
        <v>3655</v>
      </c>
      <c r="B1462" s="2" t="s">
        <v>3656</v>
      </c>
      <c r="C1462" s="2" t="s">
        <v>26</v>
      </c>
      <c r="D1462" s="2" t="s">
        <v>27</v>
      </c>
      <c r="E1462" s="5">
        <v>-29801</v>
      </c>
      <c r="F1462" s="3" t="s">
        <v>288</v>
      </c>
      <c r="G1462" s="3" t="s">
        <v>45</v>
      </c>
      <c r="H1462" s="2" t="s">
        <v>36</v>
      </c>
      <c r="I1462" s="2" t="s">
        <v>3668</v>
      </c>
      <c r="J1462" s="3" t="str">
        <f>HYPERLINK("https://www.boe.es/gazeta/dias/1818/05/28/pdfs/GMD-1818-64.pdf#page=8","Abrir facsímil")</f>
        <v>Abrir facsímil</v>
      </c>
      <c r="K1462" s="3" t="s">
        <v>38</v>
      </c>
    </row>
    <row r="1463" spans="1:11" ht="42" customHeight="1">
      <c r="A1463" s="2" t="s">
        <v>3669</v>
      </c>
      <c r="B1463" s="2" t="s">
        <v>3670</v>
      </c>
      <c r="C1463" s="2" t="s">
        <v>63</v>
      </c>
      <c r="D1463" s="2" t="s">
        <v>18</v>
      </c>
      <c r="E1463" s="5">
        <v>-29799</v>
      </c>
      <c r="F1463" s="3" t="s">
        <v>135</v>
      </c>
      <c r="G1463" s="3" t="s">
        <v>45</v>
      </c>
      <c r="H1463" s="2" t="s">
        <v>36</v>
      </c>
      <c r="I1463" s="2" t="s">
        <v>3671</v>
      </c>
      <c r="J1463" s="3" t="str">
        <f>HYPERLINK("https://www.boe.es/gazeta/dias/1818/05/30/pdfs/GMD-1818-65.pdf#page=8","Abrir facsímil")</f>
        <v>Abrir facsímil</v>
      </c>
      <c r="K1463" s="3" t="s">
        <v>38</v>
      </c>
    </row>
    <row r="1464" spans="1:11" ht="42" customHeight="1">
      <c r="A1464" s="2" t="s">
        <v>3655</v>
      </c>
      <c r="B1464" s="2" t="s">
        <v>3656</v>
      </c>
      <c r="C1464" s="2" t="s">
        <v>68</v>
      </c>
      <c r="D1464" s="2" t="s">
        <v>69</v>
      </c>
      <c r="E1464" s="5">
        <v>-29794</v>
      </c>
      <c r="F1464" s="3" t="s">
        <v>127</v>
      </c>
      <c r="G1464" s="3" t="s">
        <v>20</v>
      </c>
      <c r="H1464" s="2" t="s">
        <v>36</v>
      </c>
      <c r="I1464" s="2" t="s">
        <v>3672</v>
      </c>
      <c r="J1464" s="3" t="str">
        <f>HYPERLINK("https://www.boe.es/gazeta/dias/1818/06/04/pdfs/GMD-1818-67.pdf#page=7","Abrir facsímil")</f>
        <v>Abrir facsímil</v>
      </c>
      <c r="K1464" s="3" t="s">
        <v>38</v>
      </c>
    </row>
    <row r="1465" spans="1:11" ht="42" customHeight="1">
      <c r="A1465" s="2" t="s">
        <v>3655</v>
      </c>
      <c r="B1465" s="2" t="s">
        <v>3656</v>
      </c>
      <c r="C1465" s="2" t="s">
        <v>97</v>
      </c>
      <c r="D1465" s="2" t="s">
        <v>18</v>
      </c>
      <c r="E1465" s="5">
        <v>-29778</v>
      </c>
      <c r="F1465" s="3" t="s">
        <v>239</v>
      </c>
      <c r="G1465" s="3" t="s">
        <v>45</v>
      </c>
      <c r="H1465" s="2" t="s">
        <v>36</v>
      </c>
      <c r="I1465" s="2" t="s">
        <v>3673</v>
      </c>
      <c r="J1465" s="3" t="str">
        <f>HYPERLINK("https://www.boe.es/gazeta/dias/1818/06/20/pdfs/GMD-1818-74.pdf#page=8","Abrir facsímil")</f>
        <v>Abrir facsímil</v>
      </c>
      <c r="K1465" s="3" t="s">
        <v>38</v>
      </c>
    </row>
    <row r="1466" spans="1:11" ht="42" customHeight="1">
      <c r="A1466" s="2" t="s">
        <v>3655</v>
      </c>
      <c r="B1466" s="2" t="s">
        <v>3656</v>
      </c>
      <c r="C1466" s="2" t="s">
        <v>17</v>
      </c>
      <c r="D1466" s="2" t="s">
        <v>18</v>
      </c>
      <c r="E1466" s="5">
        <v>-29747</v>
      </c>
      <c r="F1466" s="3" t="s">
        <v>536</v>
      </c>
      <c r="G1466" s="3" t="s">
        <v>45</v>
      </c>
      <c r="H1466" s="2" t="s">
        <v>36</v>
      </c>
      <c r="I1466" s="2" t="s">
        <v>3674</v>
      </c>
      <c r="J1466" s="3" t="str">
        <f>HYPERLINK("https://www.boe.es/gazeta/dias/1818/07/21/pdfs/GMD-1818-87.pdf#page=8","Abrir facsímil")</f>
        <v>Abrir facsímil</v>
      </c>
      <c r="K1466" s="3" t="s">
        <v>38</v>
      </c>
    </row>
    <row r="1467" spans="1:11" ht="42" customHeight="1">
      <c r="A1467" s="2" t="s">
        <v>3655</v>
      </c>
      <c r="B1467" s="2" t="s">
        <v>3656</v>
      </c>
      <c r="C1467" s="2" t="s">
        <v>68</v>
      </c>
      <c r="D1467" s="2" t="s">
        <v>69</v>
      </c>
      <c r="E1467" s="5">
        <v>-29724</v>
      </c>
      <c r="F1467" s="3" t="s">
        <v>370</v>
      </c>
      <c r="G1467" s="3" t="s">
        <v>3675</v>
      </c>
      <c r="H1467" s="2" t="s">
        <v>36</v>
      </c>
      <c r="I1467" s="2" t="s">
        <v>3676</v>
      </c>
      <c r="J1467" s="3" t="str">
        <f>HYPERLINK("https://www.boe.es/gazeta/dias/1818/08/13/pdfs/GMD-1818-97.pdf#page=8","Abrir facsímil")</f>
        <v>Abrir facsímil</v>
      </c>
      <c r="K1467" s="3" t="s">
        <v>38</v>
      </c>
    </row>
    <row r="1468" spans="1:11" ht="42" customHeight="1">
      <c r="A1468" s="2" t="s">
        <v>3655</v>
      </c>
      <c r="B1468" s="2" t="s">
        <v>3656</v>
      </c>
      <c r="C1468" s="2" t="s">
        <v>26</v>
      </c>
      <c r="D1468" s="2" t="s">
        <v>27</v>
      </c>
      <c r="E1468" s="5">
        <v>-29717</v>
      </c>
      <c r="F1468" s="3" t="s">
        <v>1644</v>
      </c>
      <c r="G1468" s="3" t="s">
        <v>45</v>
      </c>
      <c r="H1468" s="2" t="s">
        <v>36</v>
      </c>
      <c r="I1468" s="2" t="s">
        <v>3677</v>
      </c>
      <c r="J1468" s="3" t="str">
        <f>HYPERLINK("https://www.boe.es/gazeta/dias/1818/08/20/pdfs/GMD-1818-100.pdf#page=8","Abrir facsímil")</f>
        <v>Abrir facsímil</v>
      </c>
      <c r="K1468" s="3" t="s">
        <v>38</v>
      </c>
    </row>
    <row r="1469" spans="1:11" ht="42" customHeight="1">
      <c r="A1469" s="2" t="s">
        <v>3655</v>
      </c>
      <c r="B1469" s="2" t="s">
        <v>3656</v>
      </c>
      <c r="C1469" s="2" t="s">
        <v>68</v>
      </c>
      <c r="D1469" s="2" t="s">
        <v>69</v>
      </c>
      <c r="E1469" s="5">
        <v>-29680</v>
      </c>
      <c r="F1469" s="3" t="s">
        <v>865</v>
      </c>
      <c r="G1469" s="3" t="s">
        <v>45</v>
      </c>
      <c r="H1469" s="2" t="s">
        <v>36</v>
      </c>
      <c r="I1469" s="2" t="s">
        <v>3678</v>
      </c>
      <c r="J1469" s="3" t="str">
        <f>HYPERLINK("https://www.boe.es/gazeta/dias/1818/09/26/pdfs/GMD-1818-116.pdf#page=8","Abrir facsímil")</f>
        <v>Abrir facsímil</v>
      </c>
      <c r="K1469" s="3" t="s">
        <v>38</v>
      </c>
    </row>
    <row r="1470" spans="1:11" ht="42" customHeight="1">
      <c r="A1470" s="2" t="s">
        <v>3655</v>
      </c>
      <c r="B1470" s="2" t="s">
        <v>3656</v>
      </c>
      <c r="C1470" s="2" t="s">
        <v>26</v>
      </c>
      <c r="D1470" s="2" t="s">
        <v>27</v>
      </c>
      <c r="E1470" s="5">
        <v>-29673</v>
      </c>
      <c r="F1470" s="3" t="s">
        <v>1099</v>
      </c>
      <c r="G1470" s="3" t="s">
        <v>45</v>
      </c>
      <c r="H1470" s="2" t="s">
        <v>36</v>
      </c>
      <c r="I1470" s="2" t="s">
        <v>3679</v>
      </c>
      <c r="J1470" s="3" t="str">
        <f>HYPERLINK("https://www.boe.es/gazeta/dias/1818/10/03/pdfs/GMD-1818-119.pdf#page=8","Abrir facsímil")</f>
        <v>Abrir facsímil</v>
      </c>
      <c r="K1470" s="3" t="s">
        <v>38</v>
      </c>
    </row>
    <row r="1471" spans="1:11" ht="42" customHeight="1">
      <c r="A1471" s="2" t="s">
        <v>3680</v>
      </c>
      <c r="B1471" s="2" t="s">
        <v>3681</v>
      </c>
      <c r="C1471" s="2" t="s">
        <v>68</v>
      </c>
      <c r="D1471" s="2" t="s">
        <v>69</v>
      </c>
      <c r="E1471" s="5">
        <v>-29670</v>
      </c>
      <c r="F1471" s="3" t="s">
        <v>48</v>
      </c>
      <c r="G1471" s="3" t="s">
        <v>45</v>
      </c>
      <c r="H1471" s="2" t="s">
        <v>36</v>
      </c>
      <c r="I1471" s="2" t="s">
        <v>3682</v>
      </c>
      <c r="J1471" s="3" t="str">
        <f>HYPERLINK("https://www.boe.es/gazeta/dias/1818/10/06/pdfs/GMD-1818-120.pdf#page=8","Abrir facsímil")</f>
        <v>Abrir facsímil</v>
      </c>
      <c r="K1471" s="3" t="s">
        <v>38</v>
      </c>
    </row>
    <row r="1472" spans="1:11" ht="42" customHeight="1">
      <c r="A1472" s="2" t="s">
        <v>3655</v>
      </c>
      <c r="B1472" s="2" t="s">
        <v>3656</v>
      </c>
      <c r="C1472" s="2" t="s">
        <v>57</v>
      </c>
      <c r="D1472" s="2" t="s">
        <v>18</v>
      </c>
      <c r="E1472" s="5">
        <v>-29668</v>
      </c>
      <c r="F1472" s="3" t="s">
        <v>2219</v>
      </c>
      <c r="G1472" s="3" t="s">
        <v>20</v>
      </c>
      <c r="H1472" s="2" t="s">
        <v>36</v>
      </c>
      <c r="I1472" s="2" t="s">
        <v>3683</v>
      </c>
      <c r="J1472" s="3" t="str">
        <f>HYPERLINK("https://www.boe.es/gazeta/dias/1818/10/08/pdfs/GMD-1818-121.pdf#page=7","Abrir facsímil")</f>
        <v>Abrir facsímil</v>
      </c>
      <c r="K1472" s="3" t="s">
        <v>38</v>
      </c>
    </row>
    <row r="1473" spans="1:11" ht="42" customHeight="1">
      <c r="A1473" s="2" t="s">
        <v>3655</v>
      </c>
      <c r="B1473" s="2" t="s">
        <v>3656</v>
      </c>
      <c r="C1473" s="2" t="s">
        <v>68</v>
      </c>
      <c r="D1473" s="2" t="s">
        <v>69</v>
      </c>
      <c r="E1473" s="5">
        <v>-29666</v>
      </c>
      <c r="F1473" s="3" t="s">
        <v>258</v>
      </c>
      <c r="G1473" s="3" t="s">
        <v>259</v>
      </c>
      <c r="H1473" s="2" t="s">
        <v>36</v>
      </c>
      <c r="I1473" s="2" t="s">
        <v>3684</v>
      </c>
      <c r="J1473" s="3" t="str">
        <f>HYPERLINK("https://www.boe.es/gazeta/dias/1818/10/10/pdfs/GMD-1818-122.pdf#page=8","Abrir facsímil")</f>
        <v>Abrir facsímil</v>
      </c>
      <c r="K1473" s="3" t="s">
        <v>38</v>
      </c>
    </row>
    <row r="1474" spans="1:11" ht="42" customHeight="1">
      <c r="A1474" s="2" t="s">
        <v>3655</v>
      </c>
      <c r="B1474" s="2" t="s">
        <v>3656</v>
      </c>
      <c r="C1474" s="2" t="s">
        <v>68</v>
      </c>
      <c r="D1474" s="2" t="s">
        <v>69</v>
      </c>
      <c r="E1474" s="5">
        <v>-29661</v>
      </c>
      <c r="F1474" s="3" t="s">
        <v>348</v>
      </c>
      <c r="G1474" s="3" t="s">
        <v>349</v>
      </c>
      <c r="H1474" s="2" t="s">
        <v>36</v>
      </c>
      <c r="I1474" s="2" t="s">
        <v>3685</v>
      </c>
      <c r="J1474" s="3" t="str">
        <f>HYPERLINK("https://www.boe.es/gazeta/dias/1818/10/15/pdfs/GMD-1818-124.pdf#page=8","Abrir facsímil")</f>
        <v>Abrir facsímil</v>
      </c>
      <c r="K1474" s="3" t="s">
        <v>38</v>
      </c>
    </row>
    <row r="1475" spans="1:11" ht="42" customHeight="1">
      <c r="A1475" s="2" t="s">
        <v>3655</v>
      </c>
      <c r="B1475" s="2" t="s">
        <v>3656</v>
      </c>
      <c r="C1475" s="2" t="s">
        <v>68</v>
      </c>
      <c r="D1475" s="2" t="s">
        <v>69</v>
      </c>
      <c r="E1475" s="5">
        <v>-29654</v>
      </c>
      <c r="F1475" s="3" t="s">
        <v>219</v>
      </c>
      <c r="G1475" s="3" t="s">
        <v>20</v>
      </c>
      <c r="H1475" s="2" t="s">
        <v>36</v>
      </c>
      <c r="I1475" s="2" t="s">
        <v>3686</v>
      </c>
      <c r="J1475" s="3" t="str">
        <f>HYPERLINK("https://www.boe.es/gazeta/dias/1818/10/22/pdfs/GMD-1818-128.pdf#page=7","Abrir facsímil")</f>
        <v>Abrir facsímil</v>
      </c>
      <c r="K1475" s="3" t="s">
        <v>38</v>
      </c>
    </row>
    <row r="1476" spans="1:11" ht="42" customHeight="1">
      <c r="A1476" s="2" t="s">
        <v>3655</v>
      </c>
      <c r="B1476" s="2" t="s">
        <v>3656</v>
      </c>
      <c r="C1476" s="2" t="s">
        <v>68</v>
      </c>
      <c r="D1476" s="2" t="s">
        <v>69</v>
      </c>
      <c r="E1476" s="5">
        <v>-29654</v>
      </c>
      <c r="F1476" s="3" t="s">
        <v>219</v>
      </c>
      <c r="G1476" s="3" t="s">
        <v>45</v>
      </c>
      <c r="H1476" s="2" t="s">
        <v>36</v>
      </c>
      <c r="I1476" s="2" t="s">
        <v>3687</v>
      </c>
      <c r="J1476" s="3" t="str">
        <f>HYPERLINK("https://www.boe.es/gazeta/dias/1818/10/22/pdfs/GMD-1818-128.pdf#page=8","Abrir facsímil")</f>
        <v>Abrir facsímil</v>
      </c>
      <c r="K1476" s="3" t="s">
        <v>38</v>
      </c>
    </row>
    <row r="1477" spans="1:11" ht="42" customHeight="1">
      <c r="A1477" s="2" t="s">
        <v>3655</v>
      </c>
      <c r="B1477" s="2" t="s">
        <v>3656</v>
      </c>
      <c r="C1477" s="2" t="s">
        <v>17</v>
      </c>
      <c r="D1477" s="2" t="s">
        <v>18</v>
      </c>
      <c r="E1477" s="5">
        <v>-29642</v>
      </c>
      <c r="F1477" s="3" t="s">
        <v>248</v>
      </c>
      <c r="G1477" s="3" t="s">
        <v>249</v>
      </c>
      <c r="H1477" s="2" t="s">
        <v>36</v>
      </c>
      <c r="I1477" s="2" t="s">
        <v>3688</v>
      </c>
      <c r="J1477" s="3" t="str">
        <f>HYPERLINK("https://www.boe.es/gazeta/dias/1818/11/03/pdfs/GMD-1818-133.pdf#page=8","Abrir facsímil")</f>
        <v>Abrir facsímil</v>
      </c>
      <c r="K1477" s="3" t="s">
        <v>38</v>
      </c>
    </row>
    <row r="1478" spans="1:11" ht="42" customHeight="1">
      <c r="A1478" s="2" t="s">
        <v>3655</v>
      </c>
      <c r="B1478" s="2" t="s">
        <v>3656</v>
      </c>
      <c r="C1478" s="2" t="s">
        <v>68</v>
      </c>
      <c r="D1478" s="2" t="s">
        <v>69</v>
      </c>
      <c r="E1478" s="5">
        <v>-29638</v>
      </c>
      <c r="F1478" s="3" t="s">
        <v>307</v>
      </c>
      <c r="G1478" s="3" t="s">
        <v>45</v>
      </c>
      <c r="H1478" s="2" t="s">
        <v>36</v>
      </c>
      <c r="I1478" s="2" t="s">
        <v>3689</v>
      </c>
      <c r="J1478" s="3" t="str">
        <f>HYPERLINK("https://www.boe.es/gazeta/dias/1818/11/07/pdfs/GMD-1818-135.pdf#page=8","Abrir facsímil")</f>
        <v>Abrir facsímil</v>
      </c>
      <c r="K1478" s="3" t="s">
        <v>38</v>
      </c>
    </row>
    <row r="1479" spans="1:11" ht="42" customHeight="1">
      <c r="A1479" s="2" t="s">
        <v>3655</v>
      </c>
      <c r="B1479" s="2" t="s">
        <v>3656</v>
      </c>
      <c r="C1479" s="2" t="s">
        <v>26</v>
      </c>
      <c r="D1479" s="2" t="s">
        <v>27</v>
      </c>
      <c r="E1479" s="5">
        <v>-29633</v>
      </c>
      <c r="F1479" s="3" t="s">
        <v>2162</v>
      </c>
      <c r="G1479" s="3" t="s">
        <v>20</v>
      </c>
      <c r="H1479" s="2" t="s">
        <v>36</v>
      </c>
      <c r="I1479" s="2" t="s">
        <v>3690</v>
      </c>
      <c r="J1479" s="3" t="str">
        <f>HYPERLINK("https://www.boe.es/gazeta/dias/1818/11/12/pdfs/GMD-1818-137.pdf#page=7","Abrir facsímil")</f>
        <v>Abrir facsímil</v>
      </c>
      <c r="K1479" s="3" t="s">
        <v>38</v>
      </c>
    </row>
    <row r="1480" spans="1:11" ht="42" customHeight="1">
      <c r="A1480" s="2" t="s">
        <v>3655</v>
      </c>
      <c r="B1480" s="2" t="s">
        <v>3656</v>
      </c>
      <c r="C1480" s="2" t="s">
        <v>26</v>
      </c>
      <c r="D1480" s="2" t="s">
        <v>27</v>
      </c>
      <c r="E1480" s="5">
        <v>-29631</v>
      </c>
      <c r="F1480" s="3" t="s">
        <v>743</v>
      </c>
      <c r="G1480" s="3" t="s">
        <v>3691</v>
      </c>
      <c r="H1480" s="2" t="s">
        <v>36</v>
      </c>
      <c r="I1480" s="2" t="s">
        <v>3692</v>
      </c>
      <c r="J1480" s="3" t="str">
        <f>HYPERLINK("https://www.boe.es/gazeta/dias/1818/11/14/pdfs/GMD-1818-138.pdf#page=8","Abrir facsímil")</f>
        <v>Abrir facsímil</v>
      </c>
      <c r="K1480" s="3" t="s">
        <v>38</v>
      </c>
    </row>
    <row r="1481" spans="1:11" ht="42" customHeight="1">
      <c r="A1481" s="2" t="s">
        <v>3655</v>
      </c>
      <c r="B1481" s="2" t="s">
        <v>3656</v>
      </c>
      <c r="C1481" s="2" t="s">
        <v>68</v>
      </c>
      <c r="D1481" s="2" t="s">
        <v>69</v>
      </c>
      <c r="E1481" s="5">
        <v>-29621</v>
      </c>
      <c r="F1481" s="3" t="s">
        <v>1561</v>
      </c>
      <c r="G1481" s="3" t="s">
        <v>1562</v>
      </c>
      <c r="H1481" s="2" t="s">
        <v>36</v>
      </c>
      <c r="I1481" s="2" t="s">
        <v>3693</v>
      </c>
      <c r="J1481" s="3" t="str">
        <f>HYPERLINK("https://www.boe.es/gazeta/dias/1818/11/24/pdfs/GMD-1818-142.pdf#page=7","Abrir facsímil")</f>
        <v>Abrir facsímil</v>
      </c>
      <c r="K1481" s="3" t="s">
        <v>38</v>
      </c>
    </row>
    <row r="1482" spans="1:11" ht="42" customHeight="1">
      <c r="A1482" s="2" t="s">
        <v>3655</v>
      </c>
      <c r="B1482" s="2" t="s">
        <v>3656</v>
      </c>
      <c r="C1482" s="2" t="s">
        <v>68</v>
      </c>
      <c r="D1482" s="2" t="s">
        <v>69</v>
      </c>
      <c r="E1482" s="5">
        <v>-29619</v>
      </c>
      <c r="F1482" s="3" t="s">
        <v>64</v>
      </c>
      <c r="G1482" s="3" t="s">
        <v>45</v>
      </c>
      <c r="H1482" s="2" t="s">
        <v>36</v>
      </c>
      <c r="I1482" s="2" t="s">
        <v>3694</v>
      </c>
      <c r="J1482" s="3" t="str">
        <f>HYPERLINK("https://www.boe.es/gazeta/dias/1818/11/26/pdfs/GMD-1818-143.pdf#page=8","Abrir facsímil")</f>
        <v>Abrir facsímil</v>
      </c>
      <c r="K1482" s="3" t="s">
        <v>38</v>
      </c>
    </row>
    <row r="1483" spans="1:11" ht="42" customHeight="1">
      <c r="A1483" s="2" t="s">
        <v>3655</v>
      </c>
      <c r="B1483" s="2" t="s">
        <v>3656</v>
      </c>
      <c r="C1483" s="2" t="s">
        <v>17</v>
      </c>
      <c r="D1483" s="2" t="s">
        <v>18</v>
      </c>
      <c r="E1483" s="5">
        <v>-29610</v>
      </c>
      <c r="F1483" s="3" t="s">
        <v>1441</v>
      </c>
      <c r="G1483" s="3" t="s">
        <v>45</v>
      </c>
      <c r="H1483" s="2" t="s">
        <v>36</v>
      </c>
      <c r="I1483" s="2" t="s">
        <v>3695</v>
      </c>
      <c r="J1483" s="3" t="str">
        <f>HYPERLINK("https://www.boe.es/gazeta/dias/1818/12/05/pdfs/GMD-1818-147.pdf#page=8","Abrir facsímil")</f>
        <v>Abrir facsímil</v>
      </c>
      <c r="K1483" s="3" t="s">
        <v>38</v>
      </c>
    </row>
    <row r="1484" spans="1:11" ht="42" customHeight="1">
      <c r="A1484" s="2" t="s">
        <v>3655</v>
      </c>
      <c r="B1484" s="2" t="s">
        <v>3656</v>
      </c>
      <c r="C1484" s="2" t="s">
        <v>68</v>
      </c>
      <c r="D1484" s="2" t="s">
        <v>69</v>
      </c>
      <c r="E1484" s="5">
        <v>-29584</v>
      </c>
      <c r="F1484" s="3" t="s">
        <v>1002</v>
      </c>
      <c r="G1484" s="3" t="s">
        <v>20</v>
      </c>
      <c r="H1484" s="2" t="s">
        <v>36</v>
      </c>
      <c r="I1484" s="2" t="s">
        <v>3696</v>
      </c>
      <c r="J1484" s="3" t="str">
        <f>HYPERLINK("https://www.boe.es/gazeta/dias/1818/12/31/pdfs/GMD-1818-159.pdf#page=7","Abrir facsímil")</f>
        <v>Abrir facsímil</v>
      </c>
      <c r="K1484" s="3" t="s">
        <v>38</v>
      </c>
    </row>
    <row r="1485" spans="1:11" ht="42" customHeight="1">
      <c r="A1485" s="2" t="s">
        <v>3697</v>
      </c>
      <c r="B1485" s="2" t="s">
        <v>3698</v>
      </c>
      <c r="C1485" s="2" t="s">
        <v>68</v>
      </c>
      <c r="D1485" s="2" t="s">
        <v>69</v>
      </c>
      <c r="E1485" s="5">
        <v>-29640</v>
      </c>
      <c r="F1485" s="3" t="s">
        <v>75</v>
      </c>
      <c r="G1485" s="3" t="s">
        <v>20</v>
      </c>
      <c r="H1485" s="2" t="s">
        <v>36</v>
      </c>
      <c r="I1485" s="2" t="s">
        <v>3699</v>
      </c>
      <c r="J1485" s="3" t="str">
        <f>HYPERLINK("https://www.boe.es/gazeta/dias/1818/11/05/pdfs/GMD-1818-134.pdf#page=7","Abrir facsímil")</f>
        <v>Abrir facsímil</v>
      </c>
      <c r="K1485" s="3" t="s">
        <v>38</v>
      </c>
    </row>
    <row r="1486" spans="1:11" ht="42" customHeight="1">
      <c r="A1486" s="2" t="s">
        <v>3700</v>
      </c>
      <c r="B1486" s="2" t="s">
        <v>3701</v>
      </c>
      <c r="C1486" s="2" t="s">
        <v>68</v>
      </c>
      <c r="D1486" s="2" t="s">
        <v>69</v>
      </c>
      <c r="E1486" s="5">
        <v>-29939</v>
      </c>
      <c r="F1486" s="3" t="s">
        <v>110</v>
      </c>
      <c r="G1486" s="3" t="s">
        <v>116</v>
      </c>
      <c r="H1486" s="2" t="s">
        <v>21</v>
      </c>
      <c r="I1486" s="2" t="s">
        <v>3702</v>
      </c>
      <c r="J1486" s="3" t="str">
        <f>HYPERLINK("https://www.boe.es/gazeta/dias/1818/01/10/pdfs/GMD-1818-5.pdf#page=12","Abrir facsímil")</f>
        <v>Abrir facsímil</v>
      </c>
      <c r="K1486" s="3" t="s">
        <v>23</v>
      </c>
    </row>
    <row r="1487" spans="1:11" ht="42" customHeight="1">
      <c r="A1487" s="2" t="s">
        <v>3700</v>
      </c>
      <c r="B1487" s="2" t="s">
        <v>3701</v>
      </c>
      <c r="C1487" s="2" t="s">
        <v>63</v>
      </c>
      <c r="D1487" s="2" t="s">
        <v>18</v>
      </c>
      <c r="E1487" s="5">
        <v>-29633</v>
      </c>
      <c r="F1487" s="3" t="s">
        <v>2162</v>
      </c>
      <c r="G1487" s="3" t="s">
        <v>20</v>
      </c>
      <c r="H1487" s="2" t="s">
        <v>21</v>
      </c>
      <c r="I1487" s="2" t="s">
        <v>3703</v>
      </c>
      <c r="J1487" s="3" t="str">
        <f>HYPERLINK("https://www.boe.es/gazeta/dias/1818/11/12/pdfs/GMD-1818-137.pdf#page=7","Abrir facsímil")</f>
        <v>Abrir facsímil</v>
      </c>
      <c r="K1487" s="3" t="s">
        <v>23</v>
      </c>
    </row>
    <row r="1488" spans="1:11" ht="42" customHeight="1">
      <c r="A1488" s="2" t="s">
        <v>3704</v>
      </c>
      <c r="B1488" s="2" t="s">
        <v>3705</v>
      </c>
      <c r="C1488" s="2" t="s">
        <v>26</v>
      </c>
      <c r="D1488" s="2" t="s">
        <v>27</v>
      </c>
      <c r="E1488" s="5">
        <v>-29887</v>
      </c>
      <c r="F1488" s="3" t="s">
        <v>613</v>
      </c>
      <c r="G1488" s="3" t="s">
        <v>59</v>
      </c>
      <c r="H1488" s="2" t="s">
        <v>36</v>
      </c>
      <c r="I1488" s="2" t="s">
        <v>3706</v>
      </c>
      <c r="J1488" s="3" t="str">
        <f>HYPERLINK("https://www.boe.es/gazeta/dias/1818/03/03/pdfs/GMD-1818-27.pdf#page=6","Abrir facsímil")</f>
        <v>Abrir facsímil</v>
      </c>
      <c r="K1488" s="3" t="s">
        <v>38</v>
      </c>
    </row>
    <row r="1489" spans="1:11" ht="42" customHeight="1">
      <c r="A1489" s="2" t="s">
        <v>3707</v>
      </c>
      <c r="B1489" s="2" t="s">
        <v>3708</v>
      </c>
      <c r="C1489" s="2" t="s">
        <v>26</v>
      </c>
      <c r="D1489" s="2" t="s">
        <v>27</v>
      </c>
      <c r="E1489" s="5">
        <v>-29600</v>
      </c>
      <c r="F1489" s="3" t="s">
        <v>697</v>
      </c>
      <c r="G1489" s="3" t="s">
        <v>20</v>
      </c>
      <c r="H1489" s="2" t="s">
        <v>36</v>
      </c>
      <c r="I1489" s="2" t="s">
        <v>3709</v>
      </c>
      <c r="J1489" s="3" t="str">
        <f>HYPERLINK("https://www.boe.es/gazeta/dias/1818/12/15/pdfs/GMD-1818-151.pdf#page=7","Abrir facsímil")</f>
        <v>Abrir facsímil</v>
      </c>
      <c r="K1489" s="3" t="s">
        <v>38</v>
      </c>
    </row>
    <row r="1490" spans="1:11" ht="42" customHeight="1">
      <c r="A1490" s="2" t="s">
        <v>3710</v>
      </c>
      <c r="B1490" s="2" t="s">
        <v>3711</v>
      </c>
      <c r="C1490" s="2" t="s">
        <v>26</v>
      </c>
      <c r="D1490" s="2" t="s">
        <v>27</v>
      </c>
      <c r="E1490" s="5">
        <v>-29934</v>
      </c>
      <c r="F1490" s="3" t="s">
        <v>53</v>
      </c>
      <c r="G1490" s="3" t="s">
        <v>20</v>
      </c>
      <c r="H1490" s="2" t="s">
        <v>21</v>
      </c>
      <c r="I1490" s="2" t="s">
        <v>3712</v>
      </c>
      <c r="J1490" s="3" t="str">
        <f>HYPERLINK("https://www.boe.es/gazeta/dias/1818/01/15/pdfs/GMD-1818-7.pdf#page=7","Abrir facsímil")</f>
        <v>Abrir facsímil</v>
      </c>
      <c r="K1490" s="3" t="s">
        <v>23</v>
      </c>
    </row>
    <row r="1491" spans="1:11" ht="42" customHeight="1">
      <c r="A1491" s="2" t="s">
        <v>3713</v>
      </c>
      <c r="B1491" s="2" t="s">
        <v>3714</v>
      </c>
      <c r="C1491" s="2" t="s">
        <v>26</v>
      </c>
      <c r="D1491" s="2" t="s">
        <v>27</v>
      </c>
      <c r="E1491" s="5">
        <v>-29894</v>
      </c>
      <c r="F1491" s="3" t="s">
        <v>820</v>
      </c>
      <c r="G1491" s="3" t="s">
        <v>106</v>
      </c>
      <c r="H1491" s="2" t="s">
        <v>36</v>
      </c>
      <c r="I1491" s="2" t="s">
        <v>3715</v>
      </c>
      <c r="J1491" s="3" t="str">
        <f>HYPERLINK("https://www.boe.es/gazeta/dias/1818/02/24/pdfs/GMD-1818-24.pdf#page=5","Abrir facsímil")</f>
        <v>Abrir facsímil</v>
      </c>
      <c r="K1491" s="3" t="s">
        <v>38</v>
      </c>
    </row>
    <row r="1492" spans="1:11" ht="42" customHeight="1">
      <c r="A1492" s="2" t="s">
        <v>3713</v>
      </c>
      <c r="B1492" s="2" t="s">
        <v>3714</v>
      </c>
      <c r="C1492" s="2" t="s">
        <v>17</v>
      </c>
      <c r="D1492" s="2" t="s">
        <v>18</v>
      </c>
      <c r="E1492" s="5">
        <v>-29680</v>
      </c>
      <c r="F1492" s="3" t="s">
        <v>865</v>
      </c>
      <c r="G1492" s="3" t="s">
        <v>20</v>
      </c>
      <c r="H1492" s="2" t="s">
        <v>36</v>
      </c>
      <c r="I1492" s="2" t="s">
        <v>3716</v>
      </c>
      <c r="J1492" s="3" t="str">
        <f>HYPERLINK("https://www.boe.es/gazeta/dias/1818/09/26/pdfs/GMD-1818-116.pdf#page=7","Abrir facsímil")</f>
        <v>Abrir facsímil</v>
      </c>
      <c r="K1492" s="3" t="s">
        <v>38</v>
      </c>
    </row>
    <row r="1493" spans="1:11" ht="42" customHeight="1">
      <c r="A1493" s="2" t="s">
        <v>3717</v>
      </c>
      <c r="B1493" s="2" t="s">
        <v>3718</v>
      </c>
      <c r="C1493" s="2" t="s">
        <v>26</v>
      </c>
      <c r="D1493" s="2" t="s">
        <v>27</v>
      </c>
      <c r="E1493" s="5">
        <v>-29589</v>
      </c>
      <c r="F1493" s="3" t="s">
        <v>210</v>
      </c>
      <c r="G1493" s="3" t="s">
        <v>59</v>
      </c>
      <c r="H1493" s="2" t="s">
        <v>36</v>
      </c>
      <c r="I1493" s="2" t="s">
        <v>3719</v>
      </c>
      <c r="J1493" s="3" t="str">
        <f>HYPERLINK("https://www.boe.es/gazeta/dias/1818/12/26/pdfs/GMD-1818-156.pdf#page=6","Abrir facsímil")</f>
        <v>Abrir facsímil</v>
      </c>
      <c r="K1493" s="3" t="s">
        <v>38</v>
      </c>
    </row>
    <row r="1494" spans="1:11" ht="42" customHeight="1">
      <c r="A1494" s="2" t="s">
        <v>3720</v>
      </c>
      <c r="B1494" s="2" t="s">
        <v>3721</v>
      </c>
      <c r="C1494" s="2" t="s">
        <v>17</v>
      </c>
      <c r="D1494" s="2" t="s">
        <v>18</v>
      </c>
      <c r="E1494" s="5">
        <v>-29834</v>
      </c>
      <c r="F1494" s="3" t="s">
        <v>457</v>
      </c>
      <c r="G1494" s="3" t="s">
        <v>458</v>
      </c>
      <c r="H1494" s="2" t="s">
        <v>36</v>
      </c>
      <c r="I1494" s="2" t="s">
        <v>3722</v>
      </c>
      <c r="J1494" s="3" t="str">
        <f>HYPERLINK("https://www.boe.es/gazeta/dias/1818/04/25/pdfs/GMD-1818-50.pdf#page=8","Abrir facsímil")</f>
        <v>Abrir facsímil</v>
      </c>
      <c r="K1494" s="3" t="s">
        <v>38</v>
      </c>
    </row>
    <row r="1495" spans="1:11" ht="42" customHeight="1">
      <c r="A1495" s="2" t="s">
        <v>3723</v>
      </c>
      <c r="B1495" s="2" t="s">
        <v>3724</v>
      </c>
      <c r="C1495" s="2" t="s">
        <v>17</v>
      </c>
      <c r="D1495" s="2" t="s">
        <v>18</v>
      </c>
      <c r="E1495" s="5">
        <v>-29869</v>
      </c>
      <c r="F1495" s="3" t="s">
        <v>140</v>
      </c>
      <c r="G1495" s="3" t="s">
        <v>29</v>
      </c>
      <c r="H1495" s="2" t="s">
        <v>36</v>
      </c>
      <c r="I1495" s="2" t="s">
        <v>3725</v>
      </c>
      <c r="J1495" s="3" t="str">
        <f>HYPERLINK("https://www.boe.es/gazeta/dias/1818/03/21/pdfs/GMD-1818-35.pdf#page=4","Abrir facsímil")</f>
        <v>Abrir facsímil</v>
      </c>
      <c r="K1495" s="3" t="s">
        <v>38</v>
      </c>
    </row>
    <row r="1496" spans="1:11" ht="42" customHeight="1">
      <c r="A1496" s="2" t="s">
        <v>3726</v>
      </c>
      <c r="B1496" s="2" t="s">
        <v>3727</v>
      </c>
      <c r="C1496" s="2" t="s">
        <v>17</v>
      </c>
      <c r="D1496" s="2" t="s">
        <v>18</v>
      </c>
      <c r="E1496" s="5">
        <v>-29824</v>
      </c>
      <c r="F1496" s="3" t="s">
        <v>101</v>
      </c>
      <c r="G1496" s="3" t="s">
        <v>20</v>
      </c>
      <c r="H1496" s="2" t="s">
        <v>36</v>
      </c>
      <c r="I1496" s="2" t="s">
        <v>3728</v>
      </c>
      <c r="J1496" s="3" t="str">
        <f>HYPERLINK("https://www.boe.es/gazeta/dias/1818/05/05/pdfs/GMD-1818-54.pdf#page=7","Abrir facsímil")</f>
        <v>Abrir facsímil</v>
      </c>
      <c r="K1496" s="3" t="s">
        <v>38</v>
      </c>
    </row>
    <row r="1497" spans="1:11" ht="42" customHeight="1">
      <c r="A1497" s="2" t="s">
        <v>3729</v>
      </c>
      <c r="B1497" s="2" t="s">
        <v>3730</v>
      </c>
      <c r="C1497" s="2" t="s">
        <v>26</v>
      </c>
      <c r="D1497" s="2" t="s">
        <v>27</v>
      </c>
      <c r="E1497" s="5">
        <v>-29904</v>
      </c>
      <c r="F1497" s="3" t="s">
        <v>451</v>
      </c>
      <c r="G1497" s="3" t="s">
        <v>59</v>
      </c>
      <c r="H1497" s="2" t="s">
        <v>36</v>
      </c>
      <c r="I1497" s="2" t="s">
        <v>3731</v>
      </c>
      <c r="J1497" s="3" t="str">
        <f>HYPERLINK("https://www.boe.es/gazeta/dias/1818/02/14/pdfs/GMD-1818-20.pdf#page=6","Abrir facsímil")</f>
        <v>Abrir facsímil</v>
      </c>
      <c r="K1497" s="3" t="s">
        <v>38</v>
      </c>
    </row>
    <row r="1498" spans="1:11" ht="42" customHeight="1">
      <c r="A1498" s="2" t="s">
        <v>3729</v>
      </c>
      <c r="B1498" s="2" t="s">
        <v>3730</v>
      </c>
      <c r="C1498" s="2" t="s">
        <v>26</v>
      </c>
      <c r="D1498" s="2" t="s">
        <v>27</v>
      </c>
      <c r="E1498" s="5">
        <v>-29764</v>
      </c>
      <c r="F1498" s="3" t="s">
        <v>464</v>
      </c>
      <c r="G1498" s="3" t="s">
        <v>106</v>
      </c>
      <c r="H1498" s="2" t="s">
        <v>36</v>
      </c>
      <c r="I1498" s="2" t="s">
        <v>3732</v>
      </c>
      <c r="J1498" s="3" t="str">
        <f>HYPERLINK("https://www.boe.es/gazeta/dias/1818/07/04/pdfs/GMD-1818-80.pdf#page=5","Abrir facsímil")</f>
        <v>Abrir facsímil</v>
      </c>
      <c r="K1498" s="3" t="s">
        <v>38</v>
      </c>
    </row>
    <row r="1499" spans="1:11" ht="42" customHeight="1">
      <c r="A1499" s="2" t="s">
        <v>3733</v>
      </c>
      <c r="B1499" s="2" t="s">
        <v>3734</v>
      </c>
      <c r="C1499" s="2" t="s">
        <v>68</v>
      </c>
      <c r="D1499" s="2" t="s">
        <v>69</v>
      </c>
      <c r="E1499" s="5">
        <v>-29740</v>
      </c>
      <c r="F1499" s="3" t="s">
        <v>152</v>
      </c>
      <c r="G1499" s="3" t="s">
        <v>45</v>
      </c>
      <c r="H1499" s="2" t="s">
        <v>21</v>
      </c>
      <c r="I1499" s="2" t="s">
        <v>3735</v>
      </c>
      <c r="J1499" s="3" t="str">
        <f>HYPERLINK("https://www.boe.es/gazeta/dias/1818/07/28/pdfs/GMD-1818-90.pdf#page=8","Abrir facsímil")</f>
        <v>Abrir facsímil</v>
      </c>
      <c r="K1499" s="3" t="s">
        <v>23</v>
      </c>
    </row>
    <row r="1500" spans="1:11" ht="42" customHeight="1">
      <c r="A1500" s="2" t="s">
        <v>3736</v>
      </c>
      <c r="B1500" s="2" t="s">
        <v>3737</v>
      </c>
      <c r="C1500" s="2" t="s">
        <v>68</v>
      </c>
      <c r="D1500" s="2" t="s">
        <v>69</v>
      </c>
      <c r="E1500" s="5">
        <v>-29785</v>
      </c>
      <c r="F1500" s="3" t="s">
        <v>1031</v>
      </c>
      <c r="G1500" s="3" t="s">
        <v>45</v>
      </c>
      <c r="H1500" s="2" t="s">
        <v>36</v>
      </c>
      <c r="I1500" s="2" t="s">
        <v>3738</v>
      </c>
      <c r="J1500" s="3" t="str">
        <f>HYPERLINK("https://www.boe.es/gazeta/dias/1818/06/13/pdfs/GMD-1818-71.pdf#page=8","Abrir facsímil")</f>
        <v>Abrir facsímil</v>
      </c>
      <c r="K1500" s="3" t="s">
        <v>38</v>
      </c>
    </row>
    <row r="1501" spans="1:11" ht="42" customHeight="1">
      <c r="A1501" s="2" t="s">
        <v>3739</v>
      </c>
      <c r="B1501" s="2" t="s">
        <v>3739</v>
      </c>
      <c r="C1501" s="2" t="s">
        <v>26</v>
      </c>
      <c r="D1501" s="2" t="s">
        <v>27</v>
      </c>
      <c r="E1501" s="5">
        <v>-29948</v>
      </c>
      <c r="F1501" s="3" t="s">
        <v>199</v>
      </c>
      <c r="G1501" s="3" t="s">
        <v>106</v>
      </c>
      <c r="H1501" s="2" t="s">
        <v>36</v>
      </c>
      <c r="I1501" s="2" t="s">
        <v>3740</v>
      </c>
      <c r="J1501" s="3" t="str">
        <f>HYPERLINK("https://www.boe.es/gazeta/dias/1818/01/01/pdfs/GMD-1818-1.pdf#page=5","Abrir facsímil")</f>
        <v>Abrir facsímil</v>
      </c>
      <c r="K1501" s="3" t="s">
        <v>38</v>
      </c>
    </row>
    <row r="1502" spans="1:11" ht="42" customHeight="1">
      <c r="A1502" s="2" t="s">
        <v>3739</v>
      </c>
      <c r="B1502" s="2" t="s">
        <v>3739</v>
      </c>
      <c r="C1502" s="2" t="s">
        <v>26</v>
      </c>
      <c r="D1502" s="2" t="s">
        <v>27</v>
      </c>
      <c r="E1502" s="5">
        <v>-29946</v>
      </c>
      <c r="F1502" s="3" t="s">
        <v>724</v>
      </c>
      <c r="G1502" s="3" t="s">
        <v>29</v>
      </c>
      <c r="H1502" s="2" t="s">
        <v>36</v>
      </c>
      <c r="I1502" s="2" t="s">
        <v>3741</v>
      </c>
      <c r="J1502" s="3" t="str">
        <f>HYPERLINK("https://www.boe.es/gazeta/dias/1818/01/03/pdfs/GMD-1818-2.pdf#page=4","Abrir facsímil")</f>
        <v>Abrir facsímil</v>
      </c>
      <c r="K1502" s="3" t="s">
        <v>38</v>
      </c>
    </row>
    <row r="1503" spans="1:11" ht="42" customHeight="1">
      <c r="A1503" s="2" t="s">
        <v>3739</v>
      </c>
      <c r="B1503" s="2" t="s">
        <v>3739</v>
      </c>
      <c r="C1503" s="2" t="s">
        <v>26</v>
      </c>
      <c r="D1503" s="2" t="s">
        <v>27</v>
      </c>
      <c r="E1503" s="5">
        <v>-29929</v>
      </c>
      <c r="F1503" s="3" t="s">
        <v>204</v>
      </c>
      <c r="G1503" s="3" t="s">
        <v>29</v>
      </c>
      <c r="H1503" s="2" t="s">
        <v>36</v>
      </c>
      <c r="I1503" s="2" t="s">
        <v>3742</v>
      </c>
      <c r="J1503" s="3" t="str">
        <f>HYPERLINK("https://www.boe.es/gazeta/dias/1818/01/20/pdfs/GMD-1818-9.pdf#page=4","Abrir facsímil")</f>
        <v>Abrir facsímil</v>
      </c>
      <c r="K1503" s="3" t="s">
        <v>38</v>
      </c>
    </row>
    <row r="1504" spans="1:11" ht="42" customHeight="1">
      <c r="A1504" s="2" t="s">
        <v>3739</v>
      </c>
      <c r="B1504" s="2" t="s">
        <v>3739</v>
      </c>
      <c r="C1504" s="2" t="s">
        <v>26</v>
      </c>
      <c r="D1504" s="2" t="s">
        <v>27</v>
      </c>
      <c r="E1504" s="5">
        <v>-29859</v>
      </c>
      <c r="F1504" s="3" t="s">
        <v>3456</v>
      </c>
      <c r="G1504" s="3" t="s">
        <v>106</v>
      </c>
      <c r="H1504" s="2" t="s">
        <v>36</v>
      </c>
      <c r="I1504" s="2" t="s">
        <v>3743</v>
      </c>
      <c r="J1504" s="3" t="str">
        <f>HYPERLINK("https://www.boe.es/gazeta/dias/1818/03/31/pdfs/GMD-1818-39.pdf#page=5","Abrir facsímil")</f>
        <v>Abrir facsímil</v>
      </c>
      <c r="K1504" s="3" t="s">
        <v>38</v>
      </c>
    </row>
    <row r="1505" spans="1:11" ht="42" customHeight="1">
      <c r="A1505" s="2" t="s">
        <v>3739</v>
      </c>
      <c r="B1505" s="2" t="s">
        <v>3739</v>
      </c>
      <c r="C1505" s="2" t="s">
        <v>57</v>
      </c>
      <c r="D1505" s="2" t="s">
        <v>18</v>
      </c>
      <c r="E1505" s="5">
        <v>-29850</v>
      </c>
      <c r="F1505" s="3" t="s">
        <v>1051</v>
      </c>
      <c r="G1505" s="3" t="s">
        <v>106</v>
      </c>
      <c r="H1505" s="2" t="s">
        <v>36</v>
      </c>
      <c r="I1505" s="2" t="s">
        <v>3744</v>
      </c>
      <c r="J1505" s="3" t="str">
        <f>HYPERLINK("https://www.boe.es/gazeta/dias/1818/04/09/pdfs/GMD-1818-43.pdf#page=5","Abrir facsímil")</f>
        <v>Abrir facsímil</v>
      </c>
      <c r="K1505" s="3" t="s">
        <v>38</v>
      </c>
    </row>
    <row r="1506" spans="1:11" ht="42" customHeight="1">
      <c r="A1506" s="2" t="s">
        <v>3739</v>
      </c>
      <c r="B1506" s="2" t="s">
        <v>3739</v>
      </c>
      <c r="C1506" s="2" t="s">
        <v>17</v>
      </c>
      <c r="D1506" s="2" t="s">
        <v>18</v>
      </c>
      <c r="E1506" s="5">
        <v>-29841</v>
      </c>
      <c r="F1506" s="3" t="s">
        <v>19</v>
      </c>
      <c r="G1506" s="3" t="s">
        <v>20</v>
      </c>
      <c r="H1506" s="2" t="s">
        <v>36</v>
      </c>
      <c r="I1506" s="2" t="s">
        <v>3745</v>
      </c>
      <c r="J1506" s="3" t="str">
        <f>HYPERLINK("https://www.boe.es/gazeta/dias/1818/04/18/pdfs/GMD-1818-47.pdf#page=7","Abrir facsímil")</f>
        <v>Abrir facsímil</v>
      </c>
      <c r="K1506" s="3" t="s">
        <v>38</v>
      </c>
    </row>
    <row r="1507" spans="1:11" ht="42" customHeight="1">
      <c r="A1507" s="2" t="s">
        <v>3739</v>
      </c>
      <c r="B1507" s="2" t="s">
        <v>3739</v>
      </c>
      <c r="C1507" s="2" t="s">
        <v>63</v>
      </c>
      <c r="D1507" s="2" t="s">
        <v>18</v>
      </c>
      <c r="E1507" s="5">
        <v>-29829</v>
      </c>
      <c r="F1507" s="3" t="s">
        <v>44</v>
      </c>
      <c r="G1507" s="3" t="s">
        <v>45</v>
      </c>
      <c r="H1507" s="2" t="s">
        <v>36</v>
      </c>
      <c r="I1507" s="2" t="s">
        <v>3746</v>
      </c>
      <c r="J1507" s="3" t="str">
        <f>HYPERLINK("https://www.boe.es/gazeta/dias/1818/04/30/pdfs/GMD-1818-52.pdf#page=8","Abrir facsímil")</f>
        <v>Abrir facsímil</v>
      </c>
      <c r="K1507" s="3" t="s">
        <v>38</v>
      </c>
    </row>
    <row r="1508" spans="1:11" ht="42" customHeight="1">
      <c r="A1508" s="2" t="s">
        <v>3739</v>
      </c>
      <c r="B1508" s="2" t="s">
        <v>3739</v>
      </c>
      <c r="C1508" s="2" t="s">
        <v>17</v>
      </c>
      <c r="D1508" s="2" t="s">
        <v>18</v>
      </c>
      <c r="E1508" s="5">
        <v>-29810</v>
      </c>
      <c r="F1508" s="3" t="s">
        <v>222</v>
      </c>
      <c r="G1508" s="3" t="s">
        <v>3747</v>
      </c>
      <c r="H1508" s="2" t="s">
        <v>36</v>
      </c>
      <c r="I1508" s="2" t="s">
        <v>3748</v>
      </c>
      <c r="J1508" s="3" t="str">
        <f>HYPERLINK("https://www.boe.es/gazeta/dias/1818/05/19/pdfs/GMD-1818-60.pdf#page=5","Abrir facsímil")</f>
        <v>Abrir facsímil</v>
      </c>
      <c r="K1508" s="3" t="s">
        <v>38</v>
      </c>
    </row>
    <row r="1509" spans="1:11" ht="42" customHeight="1">
      <c r="A1509" s="2" t="s">
        <v>3739</v>
      </c>
      <c r="B1509" s="2" t="s">
        <v>3739</v>
      </c>
      <c r="C1509" s="2" t="s">
        <v>26</v>
      </c>
      <c r="D1509" s="2" t="s">
        <v>27</v>
      </c>
      <c r="E1509" s="5">
        <v>-29775</v>
      </c>
      <c r="F1509" s="3" t="s">
        <v>1245</v>
      </c>
      <c r="G1509" s="3" t="s">
        <v>544</v>
      </c>
      <c r="H1509" s="2" t="s">
        <v>36</v>
      </c>
      <c r="I1509" s="2" t="s">
        <v>3749</v>
      </c>
      <c r="J1509" s="3" t="str">
        <f>HYPERLINK("https://www.boe.es/gazeta/dias/1818/06/23/pdfs/GMD-1818-75.pdf#page=4","Abrir facsímil")</f>
        <v>Abrir facsímil</v>
      </c>
      <c r="K1509" s="3" t="s">
        <v>38</v>
      </c>
    </row>
    <row r="1510" spans="1:11" ht="42" customHeight="1">
      <c r="A1510" s="2" t="s">
        <v>3739</v>
      </c>
      <c r="B1510" s="2" t="s">
        <v>3739</v>
      </c>
      <c r="C1510" s="2" t="s">
        <v>33</v>
      </c>
      <c r="D1510" s="2" t="s">
        <v>18</v>
      </c>
      <c r="E1510" s="5">
        <v>-29761</v>
      </c>
      <c r="F1510" s="3" t="s">
        <v>168</v>
      </c>
      <c r="G1510" s="3" t="s">
        <v>106</v>
      </c>
      <c r="H1510" s="2" t="s">
        <v>36</v>
      </c>
      <c r="I1510" s="2" t="s">
        <v>3750</v>
      </c>
      <c r="J1510" s="3" t="str">
        <f>HYPERLINK("https://www.boe.es/gazeta/dias/1818/07/07/pdfs/GMD-1818-81.pdf#page=5","Abrir facsímil")</f>
        <v>Abrir facsímil</v>
      </c>
      <c r="K1510" s="3" t="s">
        <v>38</v>
      </c>
    </row>
    <row r="1511" spans="1:11" ht="42" customHeight="1">
      <c r="A1511" s="2" t="s">
        <v>3739</v>
      </c>
      <c r="B1511" s="2" t="s">
        <v>3739</v>
      </c>
      <c r="C1511" s="2" t="s">
        <v>17</v>
      </c>
      <c r="D1511" s="2" t="s">
        <v>18</v>
      </c>
      <c r="E1511" s="5">
        <v>-29717</v>
      </c>
      <c r="F1511" s="3" t="s">
        <v>1644</v>
      </c>
      <c r="G1511" s="3" t="s">
        <v>85</v>
      </c>
      <c r="H1511" s="2" t="s">
        <v>36</v>
      </c>
      <c r="I1511" s="2" t="s">
        <v>3751</v>
      </c>
      <c r="J1511" s="3" t="str">
        <f>HYPERLINK("https://www.boe.es/gazeta/dias/1818/08/20/pdfs/GMD-1818-100.pdf#page=3","Abrir facsímil")</f>
        <v>Abrir facsímil</v>
      </c>
      <c r="K1511" s="3" t="s">
        <v>38</v>
      </c>
    </row>
    <row r="1512" spans="1:11" ht="42" customHeight="1">
      <c r="A1512" s="2" t="s">
        <v>3739</v>
      </c>
      <c r="B1512" s="2" t="s">
        <v>3739</v>
      </c>
      <c r="C1512" s="2" t="s">
        <v>26</v>
      </c>
      <c r="D1512" s="2" t="s">
        <v>27</v>
      </c>
      <c r="E1512" s="5">
        <v>-29661</v>
      </c>
      <c r="F1512" s="3" t="s">
        <v>348</v>
      </c>
      <c r="G1512" s="3" t="s">
        <v>2464</v>
      </c>
      <c r="H1512" s="2" t="s">
        <v>36</v>
      </c>
      <c r="I1512" s="2" t="s">
        <v>3752</v>
      </c>
      <c r="J1512" s="3" t="str">
        <f>HYPERLINK("https://www.boe.es/gazeta/dias/1818/10/15/pdfs/GMD-1818-124.pdf#page=6","Abrir facsímil")</f>
        <v>Abrir facsímil</v>
      </c>
      <c r="K1512" s="3" t="s">
        <v>38</v>
      </c>
    </row>
    <row r="1513" spans="1:11" ht="42" customHeight="1">
      <c r="A1513" s="2" t="s">
        <v>3739</v>
      </c>
      <c r="B1513" s="2" t="s">
        <v>3739</v>
      </c>
      <c r="C1513" s="2" t="s">
        <v>63</v>
      </c>
      <c r="D1513" s="2" t="s">
        <v>18</v>
      </c>
      <c r="E1513" s="5">
        <v>-29617</v>
      </c>
      <c r="F1513" s="3" t="s">
        <v>995</v>
      </c>
      <c r="G1513" s="3" t="s">
        <v>59</v>
      </c>
      <c r="H1513" s="2" t="s">
        <v>36</v>
      </c>
      <c r="I1513" s="2" t="s">
        <v>3753</v>
      </c>
      <c r="J1513" s="3" t="str">
        <f>HYPERLINK("https://www.boe.es/gazeta/dias/1818/11/28/pdfs/GMD-1818-144.pdf#page=6","Abrir facsímil")</f>
        <v>Abrir facsímil</v>
      </c>
      <c r="K1513" s="3" t="s">
        <v>38</v>
      </c>
    </row>
    <row r="1514" spans="1:11" ht="42" customHeight="1">
      <c r="A1514" s="2" t="s">
        <v>3739</v>
      </c>
      <c r="B1514" s="2" t="s">
        <v>3739</v>
      </c>
      <c r="C1514" s="2" t="s">
        <v>17</v>
      </c>
      <c r="D1514" s="2" t="s">
        <v>18</v>
      </c>
      <c r="E1514" s="5">
        <v>-29612</v>
      </c>
      <c r="F1514" s="3" t="s">
        <v>1765</v>
      </c>
      <c r="G1514" s="3" t="s">
        <v>3754</v>
      </c>
      <c r="H1514" s="2" t="s">
        <v>36</v>
      </c>
      <c r="I1514" s="2" t="s">
        <v>3755</v>
      </c>
      <c r="J1514" s="3" t="str">
        <f>HYPERLINK("https://www.boe.es/gazeta/dias/1818/12/03/pdfs/GMD-1818-146.pdf#page=6","Abrir facsímil")</f>
        <v>Abrir facsímil</v>
      </c>
      <c r="K1514" s="3" t="s">
        <v>38</v>
      </c>
    </row>
    <row r="1515" spans="1:11" ht="42" customHeight="1">
      <c r="A1515" s="2" t="s">
        <v>3739</v>
      </c>
      <c r="B1515" s="2" t="s">
        <v>3739</v>
      </c>
      <c r="C1515" s="2" t="s">
        <v>17</v>
      </c>
      <c r="D1515" s="2" t="s">
        <v>18</v>
      </c>
      <c r="E1515" s="5">
        <v>-29612</v>
      </c>
      <c r="F1515" s="3" t="s">
        <v>1765</v>
      </c>
      <c r="G1515" s="3" t="s">
        <v>45</v>
      </c>
      <c r="H1515" s="2" t="s">
        <v>36</v>
      </c>
      <c r="I1515" s="2" t="s">
        <v>3756</v>
      </c>
      <c r="J1515" s="3" t="str">
        <f>HYPERLINK("https://www.boe.es/gazeta/dias/1818/12/03/pdfs/GMD-1818-146.pdf#page=8","Abrir facsímil")</f>
        <v>Abrir facsímil</v>
      </c>
      <c r="K1515" s="3" t="s">
        <v>38</v>
      </c>
    </row>
    <row r="1516" spans="1:11" ht="42" customHeight="1">
      <c r="A1516" s="2" t="s">
        <v>3739</v>
      </c>
      <c r="B1516" s="2" t="s">
        <v>3739</v>
      </c>
      <c r="C1516" s="2" t="s">
        <v>68</v>
      </c>
      <c r="D1516" s="2" t="s">
        <v>69</v>
      </c>
      <c r="E1516" s="5">
        <v>-29610</v>
      </c>
      <c r="F1516" s="3" t="s">
        <v>1441</v>
      </c>
      <c r="G1516" s="3" t="s">
        <v>3757</v>
      </c>
      <c r="H1516" s="2" t="s">
        <v>36</v>
      </c>
      <c r="I1516" s="2" t="s">
        <v>3758</v>
      </c>
      <c r="J1516" s="3" t="str">
        <f>HYPERLINK("https://www.boe.es/gazeta/dias/1818/12/05/pdfs/GMD-1818-147.pdf#page=4","Abrir facsímil")</f>
        <v>Abrir facsímil</v>
      </c>
      <c r="K1516" s="3" t="s">
        <v>38</v>
      </c>
    </row>
    <row r="1517" spans="1:11" ht="42" customHeight="1">
      <c r="A1517" s="2" t="s">
        <v>3739</v>
      </c>
      <c r="B1517" s="2" t="s">
        <v>3739</v>
      </c>
      <c r="C1517" s="2" t="s">
        <v>63</v>
      </c>
      <c r="D1517" s="2" t="s">
        <v>18</v>
      </c>
      <c r="E1517" s="5">
        <v>-29586</v>
      </c>
      <c r="F1517" s="3" t="s">
        <v>683</v>
      </c>
      <c r="G1517" s="3" t="s">
        <v>45</v>
      </c>
      <c r="H1517" s="2" t="s">
        <v>36</v>
      </c>
      <c r="I1517" s="2" t="s">
        <v>3759</v>
      </c>
      <c r="J1517" s="3" t="str">
        <f>HYPERLINK("https://www.boe.es/gazeta/dias/1818/12/29/pdfs/GMD-1818-158.pdf#page=8","Abrir facsímil")</f>
        <v>Abrir facsímil</v>
      </c>
      <c r="K1517" s="3" t="s">
        <v>38</v>
      </c>
    </row>
    <row r="1518" spans="1:11" ht="42" customHeight="1">
      <c r="A1518" s="2" t="s">
        <v>3760</v>
      </c>
      <c r="B1518" s="2" t="s">
        <v>3761</v>
      </c>
      <c r="C1518" s="2" t="s">
        <v>63</v>
      </c>
      <c r="D1518" s="2" t="s">
        <v>18</v>
      </c>
      <c r="E1518" s="5">
        <v>-29925</v>
      </c>
      <c r="F1518" s="3" t="s">
        <v>447</v>
      </c>
      <c r="G1518" s="3" t="s">
        <v>45</v>
      </c>
      <c r="H1518" s="2" t="s">
        <v>36</v>
      </c>
      <c r="I1518" s="2" t="s">
        <v>3762</v>
      </c>
      <c r="J1518" s="3" t="str">
        <f>HYPERLINK("https://www.boe.es/gazeta/dias/1818/01/24/pdfs/GMD-1818-11.pdf#page=8","Abrir facsímil")</f>
        <v>Abrir facsímil</v>
      </c>
      <c r="K1518" s="3" t="s">
        <v>38</v>
      </c>
    </row>
    <row r="1519" spans="1:11" ht="42" customHeight="1">
      <c r="A1519" s="2" t="s">
        <v>3763</v>
      </c>
      <c r="B1519" s="2" t="s">
        <v>3764</v>
      </c>
      <c r="C1519" s="2" t="s">
        <v>63</v>
      </c>
      <c r="D1519" s="2" t="s">
        <v>18</v>
      </c>
      <c r="E1519" s="5">
        <v>-29586</v>
      </c>
      <c r="F1519" s="3" t="s">
        <v>683</v>
      </c>
      <c r="G1519" s="3" t="s">
        <v>45</v>
      </c>
      <c r="H1519" s="2" t="s">
        <v>36</v>
      </c>
      <c r="I1519" s="2" t="s">
        <v>3765</v>
      </c>
      <c r="J1519" s="3" t="str">
        <f>HYPERLINK("https://www.boe.es/gazeta/dias/1818/12/29/pdfs/GMD-1818-158.pdf#page=8","Abrir facsímil")</f>
        <v>Abrir facsímil</v>
      </c>
      <c r="K1519" s="3" t="s">
        <v>38</v>
      </c>
    </row>
    <row r="1520" spans="1:11" ht="42" customHeight="1">
      <c r="A1520" s="2" t="s">
        <v>3766</v>
      </c>
      <c r="B1520" s="2" t="s">
        <v>3767</v>
      </c>
      <c r="C1520" s="2" t="s">
        <v>68</v>
      </c>
      <c r="D1520" s="2" t="s">
        <v>69</v>
      </c>
      <c r="E1520" s="5">
        <v>-29869</v>
      </c>
      <c r="F1520" s="3" t="s">
        <v>140</v>
      </c>
      <c r="G1520" s="3" t="s">
        <v>59</v>
      </c>
      <c r="H1520" s="2" t="s">
        <v>36</v>
      </c>
      <c r="I1520" s="2" t="s">
        <v>3768</v>
      </c>
      <c r="J1520" s="3" t="str">
        <f>HYPERLINK("https://www.boe.es/gazeta/dias/1818/03/21/pdfs/GMD-1818-35.pdf#page=6","Abrir facsímil")</f>
        <v>Abrir facsímil</v>
      </c>
      <c r="K1520" s="3" t="s">
        <v>38</v>
      </c>
    </row>
    <row r="1521" spans="1:11" ht="42" customHeight="1">
      <c r="A1521" s="2" t="s">
        <v>3769</v>
      </c>
      <c r="B1521" s="2" t="s">
        <v>3770</v>
      </c>
      <c r="C1521" s="2" t="s">
        <v>68</v>
      </c>
      <c r="D1521" s="2" t="s">
        <v>69</v>
      </c>
      <c r="E1521" s="5">
        <v>-29684</v>
      </c>
      <c r="F1521" s="3" t="s">
        <v>311</v>
      </c>
      <c r="G1521" s="3" t="s">
        <v>45</v>
      </c>
      <c r="H1521" s="2" t="s">
        <v>36</v>
      </c>
      <c r="I1521" s="2" t="s">
        <v>3771</v>
      </c>
      <c r="J1521" s="3" t="str">
        <f>HYPERLINK("https://www.boe.es/gazeta/dias/1818/09/22/pdfs/GMD-1818-114.pdf#page=8","Abrir facsímil")</f>
        <v>Abrir facsímil</v>
      </c>
      <c r="K1521" s="3" t="s">
        <v>38</v>
      </c>
    </row>
    <row r="1522" spans="1:11" ht="42" customHeight="1">
      <c r="A1522" s="2" t="s">
        <v>3772</v>
      </c>
      <c r="B1522" s="2" t="s">
        <v>3773</v>
      </c>
      <c r="C1522" s="2" t="s">
        <v>63</v>
      </c>
      <c r="D1522" s="2" t="s">
        <v>18</v>
      </c>
      <c r="E1522" s="5">
        <v>-29719</v>
      </c>
      <c r="F1522" s="3" t="s">
        <v>243</v>
      </c>
      <c r="G1522" s="3" t="s">
        <v>2921</v>
      </c>
      <c r="H1522" s="2" t="s">
        <v>36</v>
      </c>
      <c r="I1522" s="2" t="s">
        <v>3774</v>
      </c>
      <c r="J1522" s="3" t="str">
        <f>HYPERLINK("https://www.boe.es/gazeta/dias/1818/08/18/pdfs/GMD-1818-99.pdf#page=12","Abrir facsímil")</f>
        <v>Abrir facsímil</v>
      </c>
      <c r="K1522" s="3" t="s">
        <v>38</v>
      </c>
    </row>
    <row r="1523" spans="1:11" ht="42" customHeight="1">
      <c r="A1523" s="2" t="s">
        <v>3775</v>
      </c>
      <c r="B1523" s="2" t="s">
        <v>3776</v>
      </c>
      <c r="C1523" s="2" t="s">
        <v>26</v>
      </c>
      <c r="D1523" s="2" t="s">
        <v>27</v>
      </c>
      <c r="E1523" s="5">
        <v>-29836</v>
      </c>
      <c r="F1523" s="3" t="s">
        <v>119</v>
      </c>
      <c r="G1523" s="3" t="s">
        <v>120</v>
      </c>
      <c r="H1523" s="2" t="s">
        <v>36</v>
      </c>
      <c r="I1523" s="2" t="s">
        <v>3777</v>
      </c>
      <c r="J1523" s="3" t="str">
        <f>HYPERLINK("https://www.boe.es/gazeta/dias/1818/04/23/pdfs/GMD-1818-49.pdf#page=2","Abrir facsímil")</f>
        <v>Abrir facsímil</v>
      </c>
      <c r="K1523" s="3" t="s">
        <v>38</v>
      </c>
    </row>
    <row r="1524" spans="1:11" ht="42" customHeight="1">
      <c r="A1524" s="2" t="s">
        <v>3778</v>
      </c>
      <c r="B1524" s="2" t="s">
        <v>3778</v>
      </c>
      <c r="C1524" s="2" t="s">
        <v>26</v>
      </c>
      <c r="D1524" s="2" t="s">
        <v>27</v>
      </c>
      <c r="E1524" s="5">
        <v>-29922</v>
      </c>
      <c r="F1524" s="3" t="s">
        <v>174</v>
      </c>
      <c r="G1524" s="3" t="s">
        <v>59</v>
      </c>
      <c r="H1524" s="2" t="s">
        <v>36</v>
      </c>
      <c r="I1524" s="2" t="s">
        <v>3779</v>
      </c>
      <c r="J1524" s="3" t="str">
        <f>HYPERLINK("https://www.boe.es/gazeta/dias/1818/01/27/pdfs/GMD-1818-12.pdf#page=6","Abrir facsímil")</f>
        <v>Abrir facsímil</v>
      </c>
      <c r="K1524" s="3" t="s">
        <v>38</v>
      </c>
    </row>
    <row r="1525" spans="1:11" ht="42" customHeight="1">
      <c r="A1525" s="2" t="s">
        <v>3780</v>
      </c>
      <c r="B1525" s="2" t="s">
        <v>3780</v>
      </c>
      <c r="C1525" s="2" t="s">
        <v>68</v>
      </c>
      <c r="D1525" s="2" t="s">
        <v>69</v>
      </c>
      <c r="E1525" s="5">
        <v>-29894</v>
      </c>
      <c r="F1525" s="3" t="s">
        <v>820</v>
      </c>
      <c r="G1525" s="3" t="s">
        <v>106</v>
      </c>
      <c r="H1525" s="2" t="s">
        <v>36</v>
      </c>
      <c r="I1525" s="2" t="s">
        <v>3781</v>
      </c>
      <c r="J1525" s="3" t="str">
        <f>HYPERLINK("https://www.boe.es/gazeta/dias/1818/02/24/pdfs/GMD-1818-24.pdf#page=5","Abrir facsímil")</f>
        <v>Abrir facsímil</v>
      </c>
      <c r="K1525" s="3" t="s">
        <v>38</v>
      </c>
    </row>
    <row r="1526" spans="1:11" ht="42" customHeight="1">
      <c r="A1526" s="2" t="s">
        <v>3782</v>
      </c>
      <c r="B1526" s="2" t="s">
        <v>3782</v>
      </c>
      <c r="C1526" s="2" t="s">
        <v>26</v>
      </c>
      <c r="D1526" s="2" t="s">
        <v>27</v>
      </c>
      <c r="E1526" s="5">
        <v>-29857</v>
      </c>
      <c r="F1526" s="3" t="s">
        <v>831</v>
      </c>
      <c r="G1526" s="3" t="s">
        <v>29</v>
      </c>
      <c r="H1526" s="2" t="s">
        <v>36</v>
      </c>
      <c r="I1526" s="2" t="s">
        <v>3783</v>
      </c>
      <c r="J1526" s="3" t="str">
        <f>HYPERLINK("https://www.boe.es/gazeta/dias/1818/04/02/pdfs/GMD-1818-40.pdf#page=4","Abrir facsímil")</f>
        <v>Abrir facsímil</v>
      </c>
      <c r="K1526" s="3" t="s">
        <v>38</v>
      </c>
    </row>
    <row r="1527" spans="1:11" ht="42" customHeight="1">
      <c r="A1527" s="2" t="s">
        <v>3784</v>
      </c>
      <c r="B1527" s="2" t="s">
        <v>3785</v>
      </c>
      <c r="C1527" s="2" t="s">
        <v>26</v>
      </c>
      <c r="D1527" s="2" t="s">
        <v>27</v>
      </c>
      <c r="E1527" s="5">
        <v>-29918</v>
      </c>
      <c r="F1527" s="3" t="s">
        <v>89</v>
      </c>
      <c r="G1527" s="3" t="s">
        <v>116</v>
      </c>
      <c r="H1527" s="2" t="s">
        <v>36</v>
      </c>
      <c r="I1527" s="2" t="s">
        <v>3786</v>
      </c>
      <c r="J1527" s="3" t="str">
        <f>HYPERLINK("https://www.boe.es/gazeta/dias/1818/01/31/pdfs/GMD-1818-14.pdf#page=12","Abrir facsímil")</f>
        <v>Abrir facsímil</v>
      </c>
      <c r="K1527" s="3" t="s">
        <v>38</v>
      </c>
    </row>
    <row r="1528" spans="1:11" ht="42" customHeight="1">
      <c r="A1528" s="2" t="s">
        <v>3787</v>
      </c>
      <c r="B1528" s="2" t="s">
        <v>3788</v>
      </c>
      <c r="C1528" s="2" t="s">
        <v>26</v>
      </c>
      <c r="D1528" s="2" t="s">
        <v>27</v>
      </c>
      <c r="E1528" s="5">
        <v>-29913</v>
      </c>
      <c r="F1528" s="3" t="s">
        <v>449</v>
      </c>
      <c r="G1528" s="3" t="s">
        <v>45</v>
      </c>
      <c r="H1528" s="2" t="s">
        <v>36</v>
      </c>
      <c r="I1528" s="2" t="s">
        <v>3789</v>
      </c>
      <c r="J1528" s="3" t="str">
        <f>HYPERLINK("https://www.boe.es/gazeta/dias/1818/02/05/pdfs/GMD-1818-16.pdf#page=8","Abrir facsímil")</f>
        <v>Abrir facsímil</v>
      </c>
      <c r="K1528" s="3" t="s">
        <v>38</v>
      </c>
    </row>
    <row r="1529" spans="1:11" ht="42" customHeight="1">
      <c r="A1529" s="2" t="s">
        <v>3790</v>
      </c>
      <c r="B1529" s="2" t="s">
        <v>3791</v>
      </c>
      <c r="C1529" s="2" t="s">
        <v>33</v>
      </c>
      <c r="D1529" s="2" t="s">
        <v>18</v>
      </c>
      <c r="E1529" s="5">
        <v>-29736</v>
      </c>
      <c r="F1529" s="3" t="s">
        <v>581</v>
      </c>
      <c r="G1529" s="3" t="s">
        <v>59</v>
      </c>
      <c r="H1529" s="2" t="s">
        <v>36</v>
      </c>
      <c r="I1529" s="2" t="s">
        <v>3792</v>
      </c>
      <c r="J1529" s="3" t="str">
        <f>HYPERLINK("https://www.boe.es/gazeta/dias/1818/08/01/pdfs/GMD-1818-92.pdf#page=6","Abrir facsímil")</f>
        <v>Abrir facsímil</v>
      </c>
      <c r="K1529" s="3" t="s">
        <v>38</v>
      </c>
    </row>
    <row r="1530" spans="1:11" ht="42" customHeight="1">
      <c r="A1530" s="2" t="s">
        <v>3793</v>
      </c>
      <c r="B1530" s="2" t="s">
        <v>3794</v>
      </c>
      <c r="C1530" s="2" t="s">
        <v>63</v>
      </c>
      <c r="D1530" s="2" t="s">
        <v>18</v>
      </c>
      <c r="E1530" s="5">
        <v>-29591</v>
      </c>
      <c r="F1530" s="3" t="s">
        <v>1414</v>
      </c>
      <c r="G1530" s="3" t="s">
        <v>1592</v>
      </c>
      <c r="H1530" s="2" t="s">
        <v>36</v>
      </c>
      <c r="I1530" s="2" t="s">
        <v>3795</v>
      </c>
      <c r="J1530" s="3" t="str">
        <f>HYPERLINK("https://www.boe.es/gazeta/dias/1818/12/24/pdfs/GMD-1818-155.pdf#page=6","Abrir facsímil")</f>
        <v>Abrir facsímil</v>
      </c>
      <c r="K1530" s="3" t="s">
        <v>38</v>
      </c>
    </row>
    <row r="1531" spans="1:11" ht="42" customHeight="1">
      <c r="A1531" s="2" t="s">
        <v>3796</v>
      </c>
      <c r="B1531" s="2" t="s">
        <v>3797</v>
      </c>
      <c r="C1531" s="2" t="s">
        <v>26</v>
      </c>
      <c r="D1531" s="2" t="s">
        <v>27</v>
      </c>
      <c r="E1531" s="5">
        <v>-29689</v>
      </c>
      <c r="F1531" s="3" t="s">
        <v>303</v>
      </c>
      <c r="G1531" s="3" t="s">
        <v>20</v>
      </c>
      <c r="H1531" s="2" t="s">
        <v>36</v>
      </c>
      <c r="I1531" s="2" t="s">
        <v>3798</v>
      </c>
      <c r="J1531" s="3" t="str">
        <f>HYPERLINK("https://www.boe.es/gazeta/dias/1818/09/17/pdfs/GMD-1818-112.pdf#page=7","Abrir facsímil")</f>
        <v>Abrir facsímil</v>
      </c>
      <c r="K1531" s="3" t="s">
        <v>38</v>
      </c>
    </row>
    <row r="1532" spans="1:11" ht="42" customHeight="1">
      <c r="A1532" s="2" t="s">
        <v>3799</v>
      </c>
      <c r="B1532" s="2" t="s">
        <v>3800</v>
      </c>
      <c r="C1532" s="2" t="s">
        <v>63</v>
      </c>
      <c r="D1532" s="2" t="s">
        <v>18</v>
      </c>
      <c r="E1532" s="5">
        <v>-29687</v>
      </c>
      <c r="F1532" s="3" t="s">
        <v>686</v>
      </c>
      <c r="G1532" s="3" t="s">
        <v>45</v>
      </c>
      <c r="H1532" s="2" t="s">
        <v>36</v>
      </c>
      <c r="I1532" s="2" t="s">
        <v>3801</v>
      </c>
      <c r="J1532" s="3" t="str">
        <f>HYPERLINK("https://www.boe.es/gazeta/dias/1818/09/19/pdfs/GMD-1818-113.pdf#page=8","Abrir facsímil")</f>
        <v>Abrir facsímil</v>
      </c>
      <c r="K1532" s="3" t="s">
        <v>38</v>
      </c>
    </row>
    <row r="1533" spans="1:11" ht="42" customHeight="1">
      <c r="A1533" s="2" t="s">
        <v>3799</v>
      </c>
      <c r="B1533" s="2" t="s">
        <v>3800</v>
      </c>
      <c r="C1533" s="2" t="s">
        <v>26</v>
      </c>
      <c r="D1533" s="2" t="s">
        <v>27</v>
      </c>
      <c r="E1533" s="5">
        <v>-29642</v>
      </c>
      <c r="F1533" s="3" t="s">
        <v>248</v>
      </c>
      <c r="G1533" s="3" t="s">
        <v>249</v>
      </c>
      <c r="H1533" s="2" t="s">
        <v>36</v>
      </c>
      <c r="I1533" s="2" t="s">
        <v>3802</v>
      </c>
      <c r="J1533" s="3" t="str">
        <f>HYPERLINK("https://www.boe.es/gazeta/dias/1818/11/03/pdfs/GMD-1818-133.pdf#page=8","Abrir facsímil")</f>
        <v>Abrir facsímil</v>
      </c>
      <c r="K1533" s="3" t="s">
        <v>38</v>
      </c>
    </row>
    <row r="1534" spans="1:11" ht="42" customHeight="1">
      <c r="A1534" s="2" t="s">
        <v>3803</v>
      </c>
      <c r="B1534" s="2" t="s">
        <v>3803</v>
      </c>
      <c r="C1534" s="2" t="s">
        <v>57</v>
      </c>
      <c r="D1534" s="2" t="s">
        <v>18</v>
      </c>
      <c r="E1534" s="5">
        <v>-29925</v>
      </c>
      <c r="F1534" s="3" t="s">
        <v>447</v>
      </c>
      <c r="G1534" s="3" t="s">
        <v>106</v>
      </c>
      <c r="H1534" s="2" t="s">
        <v>36</v>
      </c>
      <c r="I1534" s="2" t="s">
        <v>3804</v>
      </c>
      <c r="J1534" s="3" t="str">
        <f>HYPERLINK("https://www.boe.es/gazeta/dias/1818/01/24/pdfs/GMD-1818-11.pdf#page=5","Abrir facsímil")</f>
        <v>Abrir facsímil</v>
      </c>
      <c r="K1534" s="3" t="s">
        <v>38</v>
      </c>
    </row>
    <row r="1535" spans="1:11" ht="42" customHeight="1">
      <c r="A1535" s="2" t="s">
        <v>3803</v>
      </c>
      <c r="B1535" s="2" t="s">
        <v>3803</v>
      </c>
      <c r="C1535" s="2" t="s">
        <v>17</v>
      </c>
      <c r="D1535" s="2" t="s">
        <v>18</v>
      </c>
      <c r="E1535" s="5">
        <v>-29789</v>
      </c>
      <c r="F1535" s="3" t="s">
        <v>937</v>
      </c>
      <c r="G1535" s="3" t="s">
        <v>59</v>
      </c>
      <c r="H1535" s="2" t="s">
        <v>36</v>
      </c>
      <c r="I1535" s="2" t="s">
        <v>3805</v>
      </c>
      <c r="J1535" s="3" t="str">
        <f>HYPERLINK("https://www.boe.es/gazeta/dias/1818/06/09/pdfs/GMD-1818-69.pdf#page=6","Abrir facsímil")</f>
        <v>Abrir facsímil</v>
      </c>
      <c r="K1535" s="3" t="s">
        <v>38</v>
      </c>
    </row>
    <row r="1536" spans="1:11" ht="42" customHeight="1">
      <c r="A1536" s="2" t="s">
        <v>3803</v>
      </c>
      <c r="B1536" s="2" t="s">
        <v>3803</v>
      </c>
      <c r="C1536" s="2" t="s">
        <v>17</v>
      </c>
      <c r="D1536" s="2" t="s">
        <v>18</v>
      </c>
      <c r="E1536" s="5">
        <v>-29703</v>
      </c>
      <c r="F1536" s="3" t="s">
        <v>294</v>
      </c>
      <c r="G1536" s="3" t="s">
        <v>20</v>
      </c>
      <c r="H1536" s="2" t="s">
        <v>36</v>
      </c>
      <c r="I1536" s="2" t="s">
        <v>3806</v>
      </c>
      <c r="J1536" s="3" t="str">
        <f>HYPERLINK("https://www.boe.es/gazeta/dias/1818/09/03/pdfs/GMD-1818-106.pdf#page=7","Abrir facsímil")</f>
        <v>Abrir facsímil</v>
      </c>
      <c r="K1536" s="3" t="s">
        <v>38</v>
      </c>
    </row>
    <row r="1537" spans="1:11" ht="42" customHeight="1">
      <c r="A1537" s="2" t="s">
        <v>3807</v>
      </c>
      <c r="B1537" s="2" t="s">
        <v>3808</v>
      </c>
      <c r="C1537" s="2" t="s">
        <v>26</v>
      </c>
      <c r="D1537" s="2" t="s">
        <v>27</v>
      </c>
      <c r="E1537" s="5">
        <v>-29715</v>
      </c>
      <c r="F1537" s="3" t="s">
        <v>208</v>
      </c>
      <c r="G1537" s="3" t="s">
        <v>29</v>
      </c>
      <c r="H1537" s="2" t="s">
        <v>36</v>
      </c>
      <c r="I1537" s="2" t="s">
        <v>3809</v>
      </c>
      <c r="J1537" s="3" t="str">
        <f>HYPERLINK("https://www.boe.es/gazeta/dias/1818/08/22/pdfs/GMD-1818-101.pdf#page=4","Abrir facsímil")</f>
        <v>Abrir facsímil</v>
      </c>
      <c r="K1537" s="3" t="s">
        <v>38</v>
      </c>
    </row>
    <row r="1538" spans="1:11" ht="42" customHeight="1">
      <c r="A1538" s="2" t="s">
        <v>3810</v>
      </c>
      <c r="B1538" s="2" t="s">
        <v>3811</v>
      </c>
      <c r="C1538" s="2" t="s">
        <v>26</v>
      </c>
      <c r="D1538" s="2" t="s">
        <v>27</v>
      </c>
      <c r="E1538" s="5">
        <v>-29661</v>
      </c>
      <c r="F1538" s="3" t="s">
        <v>348</v>
      </c>
      <c r="G1538" s="3" t="s">
        <v>85</v>
      </c>
      <c r="H1538" s="2" t="s">
        <v>36</v>
      </c>
      <c r="I1538" s="2" t="s">
        <v>3812</v>
      </c>
      <c r="J1538" s="3" t="str">
        <f>HYPERLINK("https://www.boe.es/gazeta/dias/1818/10/15/pdfs/GMD-1818-124.pdf#page=3","Abrir facsímil")</f>
        <v>Abrir facsímil</v>
      </c>
      <c r="K1538" s="3" t="s">
        <v>38</v>
      </c>
    </row>
    <row r="1539" spans="1:11" ht="42" customHeight="1">
      <c r="A1539" s="2" t="s">
        <v>3813</v>
      </c>
      <c r="B1539" s="2" t="s">
        <v>3813</v>
      </c>
      <c r="C1539" s="2" t="s">
        <v>26</v>
      </c>
      <c r="D1539" s="2" t="s">
        <v>27</v>
      </c>
      <c r="E1539" s="5">
        <v>-29607</v>
      </c>
      <c r="F1539" s="3" t="s">
        <v>704</v>
      </c>
      <c r="G1539" s="3" t="s">
        <v>59</v>
      </c>
      <c r="H1539" s="2" t="s">
        <v>36</v>
      </c>
      <c r="I1539" s="2" t="s">
        <v>3814</v>
      </c>
      <c r="J1539" s="3" t="str">
        <f>HYPERLINK("https://www.boe.es/gazeta/dias/1818/12/08/pdfs/GMD-1818-148.pdf#page=6","Abrir facsímil")</f>
        <v>Abrir facsímil</v>
      </c>
      <c r="K1539" s="3" t="s">
        <v>38</v>
      </c>
    </row>
    <row r="1540" spans="1:11" ht="42" customHeight="1">
      <c r="A1540" s="2" t="s">
        <v>3815</v>
      </c>
      <c r="B1540" s="2" t="s">
        <v>3816</v>
      </c>
      <c r="C1540" s="2" t="s">
        <v>26</v>
      </c>
      <c r="D1540" s="2" t="s">
        <v>27</v>
      </c>
      <c r="E1540" s="5">
        <v>-29607</v>
      </c>
      <c r="F1540" s="3" t="s">
        <v>704</v>
      </c>
      <c r="G1540" s="3" t="s">
        <v>59</v>
      </c>
      <c r="H1540" s="2" t="s">
        <v>36</v>
      </c>
      <c r="I1540" s="2" t="s">
        <v>3817</v>
      </c>
      <c r="J1540" s="3" t="str">
        <f>HYPERLINK("https://www.boe.es/gazeta/dias/1818/12/08/pdfs/GMD-1818-148.pdf#page=6","Abrir facsímil")</f>
        <v>Abrir facsímil</v>
      </c>
      <c r="K1540" s="3" t="s">
        <v>38</v>
      </c>
    </row>
    <row r="1541" spans="1:11" ht="42" customHeight="1">
      <c r="A1541" s="2" t="s">
        <v>3818</v>
      </c>
      <c r="B1541" s="2" t="s">
        <v>3819</v>
      </c>
      <c r="C1541" s="2" t="s">
        <v>17</v>
      </c>
      <c r="D1541" s="2" t="s">
        <v>18</v>
      </c>
      <c r="E1541" s="5">
        <v>-29890</v>
      </c>
      <c r="F1541" s="3" t="s">
        <v>393</v>
      </c>
      <c r="G1541" s="3" t="s">
        <v>106</v>
      </c>
      <c r="H1541" s="2" t="s">
        <v>36</v>
      </c>
      <c r="I1541" s="2" t="s">
        <v>3820</v>
      </c>
      <c r="J1541" s="3" t="str">
        <f>HYPERLINK("https://www.boe.es/gazeta/dias/1818/02/28/pdfs/GMD-1818-26.pdf#page=5","Abrir facsímil")</f>
        <v>Abrir facsímil</v>
      </c>
      <c r="K1541" s="3" t="s">
        <v>38</v>
      </c>
    </row>
    <row r="1542" spans="1:11" ht="42" customHeight="1">
      <c r="A1542" s="2" t="s">
        <v>3818</v>
      </c>
      <c r="B1542" s="2" t="s">
        <v>3819</v>
      </c>
      <c r="C1542" s="2" t="s">
        <v>26</v>
      </c>
      <c r="D1542" s="2" t="s">
        <v>27</v>
      </c>
      <c r="E1542" s="5">
        <v>-29607</v>
      </c>
      <c r="F1542" s="3" t="s">
        <v>704</v>
      </c>
      <c r="G1542" s="3" t="s">
        <v>59</v>
      </c>
      <c r="H1542" s="2" t="s">
        <v>36</v>
      </c>
      <c r="I1542" s="2" t="s">
        <v>3821</v>
      </c>
      <c r="J1542" s="3" t="str">
        <f>HYPERLINK("https://www.boe.es/gazeta/dias/1818/12/08/pdfs/GMD-1818-148.pdf#page=6","Abrir facsímil")</f>
        <v>Abrir facsímil</v>
      </c>
      <c r="K1542" s="3" t="s">
        <v>38</v>
      </c>
    </row>
    <row r="1543" spans="1:11" ht="42" customHeight="1">
      <c r="A1543" s="2" t="s">
        <v>3822</v>
      </c>
      <c r="B1543" s="2" t="s">
        <v>3823</v>
      </c>
      <c r="C1543" s="2" t="s">
        <v>26</v>
      </c>
      <c r="D1543" s="2" t="s">
        <v>27</v>
      </c>
      <c r="E1543" s="5">
        <v>-29901</v>
      </c>
      <c r="F1543" s="3" t="s">
        <v>417</v>
      </c>
      <c r="G1543" s="3" t="s">
        <v>418</v>
      </c>
      <c r="H1543" s="2" t="s">
        <v>36</v>
      </c>
      <c r="I1543" s="2" t="s">
        <v>3824</v>
      </c>
      <c r="J1543" s="3" t="str">
        <f>HYPERLINK("https://www.boe.es/gazeta/dias/1818/02/17/pdfs/GMD-1818-21.pdf#page=9","Abrir facsímil")</f>
        <v>Abrir facsímil</v>
      </c>
      <c r="K1543" s="3" t="s">
        <v>38</v>
      </c>
    </row>
    <row r="1544" spans="1:11" ht="42" customHeight="1">
      <c r="A1544" s="2" t="s">
        <v>3825</v>
      </c>
      <c r="B1544" s="2" t="s">
        <v>3826</v>
      </c>
      <c r="C1544" s="2" t="s">
        <v>17</v>
      </c>
      <c r="D1544" s="2" t="s">
        <v>18</v>
      </c>
      <c r="E1544" s="5">
        <v>-29614</v>
      </c>
      <c r="F1544" s="3" t="s">
        <v>620</v>
      </c>
      <c r="G1544" s="3" t="s">
        <v>106</v>
      </c>
      <c r="H1544" s="2" t="s">
        <v>36</v>
      </c>
      <c r="I1544" s="2" t="s">
        <v>3827</v>
      </c>
      <c r="J1544" s="3" t="str">
        <f>HYPERLINK("https://www.boe.es/gazeta/dias/1818/12/01/pdfs/GMD-1818-145.pdf#page=5","Abrir facsímil")</f>
        <v>Abrir facsímil</v>
      </c>
      <c r="K1544" s="3" t="s">
        <v>38</v>
      </c>
    </row>
    <row r="1545" spans="1:11" ht="42" customHeight="1">
      <c r="A1545" s="2" t="s">
        <v>3825</v>
      </c>
      <c r="B1545" s="2" t="s">
        <v>3826</v>
      </c>
      <c r="C1545" s="2" t="s">
        <v>26</v>
      </c>
      <c r="D1545" s="2" t="s">
        <v>27</v>
      </c>
      <c r="E1545" s="5">
        <v>-29607</v>
      </c>
      <c r="F1545" s="3" t="s">
        <v>704</v>
      </c>
      <c r="G1545" s="3" t="s">
        <v>59</v>
      </c>
      <c r="H1545" s="2" t="s">
        <v>36</v>
      </c>
      <c r="I1545" s="2" t="s">
        <v>3828</v>
      </c>
      <c r="J1545" s="3" t="str">
        <f>HYPERLINK("https://www.boe.es/gazeta/dias/1818/12/08/pdfs/GMD-1818-148.pdf#page=6","Abrir facsímil")</f>
        <v>Abrir facsímil</v>
      </c>
      <c r="K1545" s="3" t="s">
        <v>38</v>
      </c>
    </row>
    <row r="1546" spans="1:11" ht="42" customHeight="1">
      <c r="A1546" s="2" t="s">
        <v>3829</v>
      </c>
      <c r="B1546" s="2" t="s">
        <v>3830</v>
      </c>
      <c r="C1546" s="2" t="s">
        <v>17</v>
      </c>
      <c r="D1546" s="2" t="s">
        <v>18</v>
      </c>
      <c r="E1546" s="5">
        <v>-29715</v>
      </c>
      <c r="F1546" s="3" t="s">
        <v>208</v>
      </c>
      <c r="G1546" s="3" t="s">
        <v>29</v>
      </c>
      <c r="H1546" s="2" t="s">
        <v>36</v>
      </c>
      <c r="I1546" s="2" t="s">
        <v>3831</v>
      </c>
      <c r="J1546" s="3" t="str">
        <f>HYPERLINK("https://www.boe.es/gazeta/dias/1818/08/22/pdfs/GMD-1818-101.pdf#page=4","Abrir facsímil")</f>
        <v>Abrir facsímil</v>
      </c>
      <c r="K1546" s="3" t="s">
        <v>38</v>
      </c>
    </row>
    <row r="1547" spans="1:11" ht="42" customHeight="1">
      <c r="A1547" s="2" t="s">
        <v>3829</v>
      </c>
      <c r="B1547" s="2" t="s">
        <v>3830</v>
      </c>
      <c r="C1547" s="2" t="s">
        <v>26</v>
      </c>
      <c r="D1547" s="2" t="s">
        <v>27</v>
      </c>
      <c r="E1547" s="5">
        <v>-29605</v>
      </c>
      <c r="F1547" s="3" t="s">
        <v>888</v>
      </c>
      <c r="G1547" s="3" t="s">
        <v>106</v>
      </c>
      <c r="H1547" s="2" t="s">
        <v>36</v>
      </c>
      <c r="I1547" s="2" t="s">
        <v>3832</v>
      </c>
      <c r="J1547" s="3" t="str">
        <f>HYPERLINK("https://www.boe.es/gazeta/dias/1818/12/10/pdfs/GMD-1818-149.pdf#page=5","Abrir facsímil")</f>
        <v>Abrir facsímil</v>
      </c>
      <c r="K1547" s="3" t="s">
        <v>38</v>
      </c>
    </row>
    <row r="1548" spans="1:11" ht="42" customHeight="1">
      <c r="A1548" s="2" t="s">
        <v>3833</v>
      </c>
      <c r="B1548" s="2" t="s">
        <v>3834</v>
      </c>
      <c r="C1548" s="2" t="s">
        <v>26</v>
      </c>
      <c r="D1548" s="2" t="s">
        <v>27</v>
      </c>
      <c r="E1548" s="5">
        <v>-29703</v>
      </c>
      <c r="F1548" s="3" t="s">
        <v>294</v>
      </c>
      <c r="G1548" s="3" t="s">
        <v>29</v>
      </c>
      <c r="H1548" s="2" t="s">
        <v>36</v>
      </c>
      <c r="I1548" s="2" t="s">
        <v>3835</v>
      </c>
      <c r="J1548" s="3" t="str">
        <f>HYPERLINK("https://www.boe.es/gazeta/dias/1818/09/03/pdfs/GMD-1818-106.pdf#page=4","Abrir facsímil")</f>
        <v>Abrir facsímil</v>
      </c>
      <c r="K1548" s="3" t="s">
        <v>38</v>
      </c>
    </row>
    <row r="1549" spans="1:11" ht="42" customHeight="1">
      <c r="A1549" s="2" t="s">
        <v>3836</v>
      </c>
      <c r="B1549" s="2" t="s">
        <v>3837</v>
      </c>
      <c r="C1549" s="2" t="s">
        <v>26</v>
      </c>
      <c r="D1549" s="2" t="s">
        <v>27</v>
      </c>
      <c r="E1549" s="5">
        <v>-29897</v>
      </c>
      <c r="F1549" s="3" t="s">
        <v>318</v>
      </c>
      <c r="G1549" s="3" t="s">
        <v>59</v>
      </c>
      <c r="H1549" s="2" t="s">
        <v>36</v>
      </c>
      <c r="I1549" s="2" t="s">
        <v>3838</v>
      </c>
      <c r="J1549" s="3" t="str">
        <f>HYPERLINK("https://www.boe.es/gazeta/dias/1818/02/21/pdfs/GMD-1818-23.pdf#page=6","Abrir facsímil")</f>
        <v>Abrir facsímil</v>
      </c>
      <c r="K1549" s="3" t="s">
        <v>38</v>
      </c>
    </row>
    <row r="1550" spans="1:11" ht="42" customHeight="1">
      <c r="A1550" s="2" t="s">
        <v>3839</v>
      </c>
      <c r="B1550" s="2" t="s">
        <v>3840</v>
      </c>
      <c r="C1550" s="2" t="s">
        <v>17</v>
      </c>
      <c r="D1550" s="2" t="s">
        <v>18</v>
      </c>
      <c r="E1550" s="5">
        <v>-29668</v>
      </c>
      <c r="F1550" s="3" t="s">
        <v>2219</v>
      </c>
      <c r="G1550" s="3" t="s">
        <v>29</v>
      </c>
      <c r="H1550" s="2" t="s">
        <v>36</v>
      </c>
      <c r="I1550" s="2" t="s">
        <v>3841</v>
      </c>
      <c r="J1550" s="3" t="str">
        <f>HYPERLINK("https://www.boe.es/gazeta/dias/1818/10/08/pdfs/GMD-1818-121.pdf#page=4","Abrir facsímil")</f>
        <v>Abrir facsímil</v>
      </c>
      <c r="K1550" s="3" t="s">
        <v>38</v>
      </c>
    </row>
    <row r="1551" spans="1:11" ht="42" customHeight="1">
      <c r="A1551" s="2" t="s">
        <v>3842</v>
      </c>
      <c r="B1551" s="2" t="s">
        <v>3843</v>
      </c>
      <c r="C1551" s="2" t="s">
        <v>26</v>
      </c>
      <c r="D1551" s="2" t="s">
        <v>27</v>
      </c>
      <c r="E1551" s="5">
        <v>-29948</v>
      </c>
      <c r="F1551" s="3" t="s">
        <v>199</v>
      </c>
      <c r="G1551" s="3" t="s">
        <v>45</v>
      </c>
      <c r="H1551" s="2" t="s">
        <v>36</v>
      </c>
      <c r="I1551" s="2" t="s">
        <v>3844</v>
      </c>
      <c r="J1551" s="3" t="str">
        <f>HYPERLINK("https://www.boe.es/gazeta/dias/1818/01/01/pdfs/GMD-1818-1.pdf#page=8","Abrir facsímil")</f>
        <v>Abrir facsímil</v>
      </c>
      <c r="K1551" s="3" t="s">
        <v>38</v>
      </c>
    </row>
    <row r="1552" spans="1:11" ht="42" customHeight="1">
      <c r="A1552" s="2" t="s">
        <v>3845</v>
      </c>
      <c r="B1552" s="2" t="s">
        <v>3846</v>
      </c>
      <c r="C1552" s="2" t="s">
        <v>26</v>
      </c>
      <c r="D1552" s="2" t="s">
        <v>27</v>
      </c>
      <c r="E1552" s="5">
        <v>-29948</v>
      </c>
      <c r="F1552" s="3" t="s">
        <v>199</v>
      </c>
      <c r="G1552" s="3" t="s">
        <v>45</v>
      </c>
      <c r="H1552" s="2" t="s">
        <v>36</v>
      </c>
      <c r="I1552" s="2" t="s">
        <v>3847</v>
      </c>
      <c r="J1552" s="3" t="str">
        <f>HYPERLINK("https://www.boe.es/gazeta/dias/1818/01/01/pdfs/GMD-1818-1.pdf#page=8","Abrir facsímil")</f>
        <v>Abrir facsímil</v>
      </c>
      <c r="K1552" s="3" t="s">
        <v>38</v>
      </c>
    </row>
    <row r="1553" spans="1:11" ht="42" customHeight="1">
      <c r="A1553" s="2" t="s">
        <v>3848</v>
      </c>
      <c r="B1553" s="2" t="s">
        <v>3849</v>
      </c>
      <c r="C1553" s="2" t="s">
        <v>26</v>
      </c>
      <c r="D1553" s="2" t="s">
        <v>27</v>
      </c>
      <c r="E1553" s="5">
        <v>-29701</v>
      </c>
      <c r="F1553" s="3" t="s">
        <v>596</v>
      </c>
      <c r="G1553" s="3" t="s">
        <v>59</v>
      </c>
      <c r="H1553" s="2" t="s">
        <v>36</v>
      </c>
      <c r="I1553" s="2" t="s">
        <v>3850</v>
      </c>
      <c r="J1553" s="3" t="str">
        <f>HYPERLINK("https://www.boe.es/gazeta/dias/1818/09/05/pdfs/GMD-1818-107.pdf#page=6","Abrir facsímil")</f>
        <v>Abrir facsímil</v>
      </c>
      <c r="K1553" s="3" t="s">
        <v>38</v>
      </c>
    </row>
    <row r="1554" spans="1:11" ht="42" customHeight="1">
      <c r="A1554" s="2" t="s">
        <v>3851</v>
      </c>
      <c r="B1554" s="2" t="s">
        <v>3852</v>
      </c>
      <c r="C1554" s="2" t="s">
        <v>57</v>
      </c>
      <c r="D1554" s="2" t="s">
        <v>18</v>
      </c>
      <c r="E1554" s="5">
        <v>-29794</v>
      </c>
      <c r="F1554" s="3" t="s">
        <v>127</v>
      </c>
      <c r="G1554" s="3" t="s">
        <v>106</v>
      </c>
      <c r="H1554" s="2" t="s">
        <v>36</v>
      </c>
      <c r="I1554" s="2" t="s">
        <v>3853</v>
      </c>
      <c r="J1554" s="3" t="str">
        <f>HYPERLINK("https://www.boe.es/gazeta/dias/1818/06/04/pdfs/GMD-1818-67.pdf#page=5","Abrir facsímil")</f>
        <v>Abrir facsímil</v>
      </c>
      <c r="K1554" s="3" t="s">
        <v>38</v>
      </c>
    </row>
    <row r="1555" spans="1:11" ht="42" customHeight="1">
      <c r="A1555" s="2" t="s">
        <v>3854</v>
      </c>
      <c r="B1555" s="2" t="s">
        <v>3855</v>
      </c>
      <c r="C1555" s="2" t="s">
        <v>26</v>
      </c>
      <c r="D1555" s="2" t="s">
        <v>27</v>
      </c>
      <c r="E1555" s="5">
        <v>-29780</v>
      </c>
      <c r="F1555" s="3" t="s">
        <v>461</v>
      </c>
      <c r="G1555" s="3" t="s">
        <v>20</v>
      </c>
      <c r="H1555" s="2" t="s">
        <v>36</v>
      </c>
      <c r="I1555" s="2" t="s">
        <v>3856</v>
      </c>
      <c r="J1555" s="3" t="str">
        <f>HYPERLINK("https://www.boe.es/gazeta/dias/1818/06/18/pdfs/GMD-1818-73.pdf#page=7","Abrir facsímil")</f>
        <v>Abrir facsímil</v>
      </c>
      <c r="K1555" s="3" t="s">
        <v>38</v>
      </c>
    </row>
    <row r="1556" spans="1:11" ht="42" customHeight="1">
      <c r="A1556" s="2" t="s">
        <v>3854</v>
      </c>
      <c r="B1556" s="2" t="s">
        <v>3855</v>
      </c>
      <c r="C1556" s="2" t="s">
        <v>57</v>
      </c>
      <c r="D1556" s="2" t="s">
        <v>18</v>
      </c>
      <c r="E1556" s="5">
        <v>-29778</v>
      </c>
      <c r="F1556" s="3" t="s">
        <v>239</v>
      </c>
      <c r="G1556" s="3" t="s">
        <v>45</v>
      </c>
      <c r="H1556" s="2" t="s">
        <v>36</v>
      </c>
      <c r="I1556" s="2" t="s">
        <v>3857</v>
      </c>
      <c r="J1556" s="3" t="str">
        <f>HYPERLINK("https://www.boe.es/gazeta/dias/1818/06/20/pdfs/GMD-1818-74.pdf#page=8","Abrir facsímil")</f>
        <v>Abrir facsímil</v>
      </c>
      <c r="K1556" s="3" t="s">
        <v>38</v>
      </c>
    </row>
    <row r="1557" spans="1:11" ht="42" customHeight="1">
      <c r="A1557" s="2" t="s">
        <v>3858</v>
      </c>
      <c r="B1557" s="2" t="s">
        <v>3858</v>
      </c>
      <c r="C1557" s="2" t="s">
        <v>17</v>
      </c>
      <c r="D1557" s="2" t="s">
        <v>18</v>
      </c>
      <c r="E1557" s="5">
        <v>-29829</v>
      </c>
      <c r="F1557" s="3" t="s">
        <v>44</v>
      </c>
      <c r="G1557" s="3" t="s">
        <v>29</v>
      </c>
      <c r="H1557" s="2" t="s">
        <v>36</v>
      </c>
      <c r="I1557" s="2" t="s">
        <v>3859</v>
      </c>
      <c r="J1557" s="3" t="str">
        <f>HYPERLINK("https://www.boe.es/gazeta/dias/1818/04/30/pdfs/GMD-1818-52.pdf#page=4","Abrir facsímil")</f>
        <v>Abrir facsímil</v>
      </c>
      <c r="K1557" s="3" t="s">
        <v>38</v>
      </c>
    </row>
    <row r="1558" spans="1:11" ht="42" customHeight="1">
      <c r="A1558" s="2" t="s">
        <v>3858</v>
      </c>
      <c r="B1558" s="2" t="s">
        <v>3858</v>
      </c>
      <c r="C1558" s="2" t="s">
        <v>26</v>
      </c>
      <c r="D1558" s="2" t="s">
        <v>27</v>
      </c>
      <c r="E1558" s="5">
        <v>-29691</v>
      </c>
      <c r="F1558" s="3" t="s">
        <v>144</v>
      </c>
      <c r="G1558" s="3" t="s">
        <v>3860</v>
      </c>
      <c r="H1558" s="2" t="s">
        <v>36</v>
      </c>
      <c r="I1558" s="2" t="s">
        <v>3861</v>
      </c>
      <c r="J1558" s="3" t="str">
        <f>HYPERLINK("https://www.boe.es/gazeta/dias/1818/09/15/pdfs/GMD-1818-111.pdf#page=7","Abrir facsímil")</f>
        <v>Abrir facsímil</v>
      </c>
      <c r="K1558" s="3" t="s">
        <v>38</v>
      </c>
    </row>
    <row r="1559" spans="1:11" ht="42" customHeight="1">
      <c r="A1559" s="2" t="s">
        <v>3858</v>
      </c>
      <c r="B1559" s="2" t="s">
        <v>3858</v>
      </c>
      <c r="C1559" s="2" t="s">
        <v>17</v>
      </c>
      <c r="D1559" s="2" t="s">
        <v>18</v>
      </c>
      <c r="E1559" s="5">
        <v>-29635</v>
      </c>
      <c r="F1559" s="3" t="s">
        <v>560</v>
      </c>
      <c r="G1559" s="3" t="s">
        <v>20</v>
      </c>
      <c r="H1559" s="2" t="s">
        <v>36</v>
      </c>
      <c r="I1559" s="2" t="s">
        <v>3862</v>
      </c>
      <c r="J1559" s="3" t="str">
        <f>HYPERLINK("https://www.boe.es/gazeta/dias/1818/11/10/pdfs/GMD-1818-136.pdf#page=7","Abrir facsímil")</f>
        <v>Abrir facsímil</v>
      </c>
      <c r="K1559" s="3" t="s">
        <v>38</v>
      </c>
    </row>
    <row r="1560" spans="1:11" ht="42" customHeight="1">
      <c r="A1560" s="2" t="s">
        <v>3858</v>
      </c>
      <c r="B1560" s="2" t="s">
        <v>3858</v>
      </c>
      <c r="C1560" s="2" t="s">
        <v>17</v>
      </c>
      <c r="D1560" s="2" t="s">
        <v>18</v>
      </c>
      <c r="E1560" s="5">
        <v>-29631</v>
      </c>
      <c r="F1560" s="3" t="s">
        <v>743</v>
      </c>
      <c r="G1560" s="3" t="s">
        <v>2819</v>
      </c>
      <c r="H1560" s="2" t="s">
        <v>36</v>
      </c>
      <c r="I1560" s="2" t="s">
        <v>3863</v>
      </c>
      <c r="J1560" s="3" t="str">
        <f>HYPERLINK("https://www.boe.es/gazeta/dias/1818/11/14/pdfs/GMD-1818-138.pdf#page=2","Abrir facsímil")</f>
        <v>Abrir facsímil</v>
      </c>
      <c r="K1560" s="3" t="s">
        <v>38</v>
      </c>
    </row>
    <row r="1561" spans="1:11" ht="42" customHeight="1">
      <c r="A1561" s="2" t="s">
        <v>3858</v>
      </c>
      <c r="B1561" s="2" t="s">
        <v>3858</v>
      </c>
      <c r="C1561" s="2" t="s">
        <v>17</v>
      </c>
      <c r="D1561" s="2" t="s">
        <v>18</v>
      </c>
      <c r="E1561" s="5">
        <v>-29631</v>
      </c>
      <c r="F1561" s="3" t="s">
        <v>743</v>
      </c>
      <c r="G1561" s="3" t="s">
        <v>49</v>
      </c>
      <c r="H1561" s="2" t="s">
        <v>36</v>
      </c>
      <c r="I1561" s="2" t="s">
        <v>3864</v>
      </c>
      <c r="J1561" s="3" t="str">
        <f>HYPERLINK("https://www.boe.es/gazeta/dias/1818/11/14/pdfs/GMD-1818-138.pdf#page=1","Abrir facsímil")</f>
        <v>Abrir facsímil</v>
      </c>
      <c r="K1561" s="3" t="s">
        <v>38</v>
      </c>
    </row>
    <row r="1562" spans="1:11" ht="42" customHeight="1">
      <c r="A1562" s="2" t="s">
        <v>3858</v>
      </c>
      <c r="B1562" s="2" t="s">
        <v>3858</v>
      </c>
      <c r="C1562" s="2" t="s">
        <v>26</v>
      </c>
      <c r="D1562" s="2" t="s">
        <v>27</v>
      </c>
      <c r="E1562" s="5">
        <v>-29591</v>
      </c>
      <c r="F1562" s="3" t="s">
        <v>1414</v>
      </c>
      <c r="G1562" s="3" t="s">
        <v>106</v>
      </c>
      <c r="H1562" s="2" t="s">
        <v>36</v>
      </c>
      <c r="I1562" s="2" t="s">
        <v>3865</v>
      </c>
      <c r="J1562" s="3" t="str">
        <f>HYPERLINK("https://www.boe.es/gazeta/dias/1818/12/24/pdfs/GMD-1818-155.pdf#page=5","Abrir facsímil")</f>
        <v>Abrir facsímil</v>
      </c>
      <c r="K1562" s="3" t="s">
        <v>38</v>
      </c>
    </row>
    <row r="1563" spans="1:11" ht="42" customHeight="1">
      <c r="A1563" s="2" t="s">
        <v>3866</v>
      </c>
      <c r="B1563" s="2" t="s">
        <v>3866</v>
      </c>
      <c r="C1563" s="2" t="s">
        <v>68</v>
      </c>
      <c r="D1563" s="2" t="s">
        <v>69</v>
      </c>
      <c r="E1563" s="5">
        <v>-29750</v>
      </c>
      <c r="F1563" s="3" t="s">
        <v>384</v>
      </c>
      <c r="G1563" s="3" t="s">
        <v>116</v>
      </c>
      <c r="H1563" s="2" t="s">
        <v>36</v>
      </c>
      <c r="I1563" s="2" t="s">
        <v>3867</v>
      </c>
      <c r="J1563" s="3" t="str">
        <f>HYPERLINK("https://www.boe.es/gazeta/dias/1818/07/18/pdfs/GMD-1818-86.pdf#page=12","Abrir facsímil")</f>
        <v>Abrir facsímil</v>
      </c>
      <c r="K1563" s="3" t="s">
        <v>38</v>
      </c>
    </row>
    <row r="1564" spans="1:11" ht="42" customHeight="1">
      <c r="A1564" s="2" t="s">
        <v>3868</v>
      </c>
      <c r="B1564" s="2" t="s">
        <v>3868</v>
      </c>
      <c r="C1564" s="2" t="s">
        <v>17</v>
      </c>
      <c r="D1564" s="2" t="s">
        <v>18</v>
      </c>
      <c r="E1564" s="5">
        <v>-29624</v>
      </c>
      <c r="F1564" s="3" t="s">
        <v>131</v>
      </c>
      <c r="G1564" s="3" t="s">
        <v>20</v>
      </c>
      <c r="H1564" s="2" t="s">
        <v>36</v>
      </c>
      <c r="I1564" s="2" t="s">
        <v>3869</v>
      </c>
      <c r="J1564" s="3" t="str">
        <f>HYPERLINK("https://www.boe.es/gazeta/dias/1818/11/21/pdfs/GMD-1818-141.pdf#page=7","Abrir facsímil")</f>
        <v>Abrir facsímil</v>
      </c>
      <c r="K1564" s="3" t="s">
        <v>38</v>
      </c>
    </row>
    <row r="1565" spans="1:11" ht="42" customHeight="1">
      <c r="A1565" s="2" t="s">
        <v>3870</v>
      </c>
      <c r="B1565" s="2" t="s">
        <v>3870</v>
      </c>
      <c r="C1565" s="2" t="s">
        <v>68</v>
      </c>
      <c r="D1565" s="2" t="s">
        <v>69</v>
      </c>
      <c r="E1565" s="5">
        <v>-29943</v>
      </c>
      <c r="F1565" s="3" t="s">
        <v>1837</v>
      </c>
      <c r="G1565" s="3" t="s">
        <v>120</v>
      </c>
      <c r="H1565" s="2" t="s">
        <v>36</v>
      </c>
      <c r="I1565" s="2" t="s">
        <v>3871</v>
      </c>
      <c r="J1565" s="3" t="str">
        <f>HYPERLINK("https://www.boe.es/gazeta/dias/1818/01/06/pdfs/GMD-1818-3.pdf#page=2","Abrir facsímil")</f>
        <v>Abrir facsímil</v>
      </c>
      <c r="K1565" s="3" t="s">
        <v>38</v>
      </c>
    </row>
    <row r="1566" spans="1:11" ht="42" customHeight="1">
      <c r="A1566" s="2" t="s">
        <v>3870</v>
      </c>
      <c r="B1566" s="2" t="s">
        <v>3870</v>
      </c>
      <c r="C1566" s="2" t="s">
        <v>26</v>
      </c>
      <c r="D1566" s="2" t="s">
        <v>27</v>
      </c>
      <c r="E1566" s="5">
        <v>-29901</v>
      </c>
      <c r="F1566" s="3" t="s">
        <v>417</v>
      </c>
      <c r="G1566" s="3" t="s">
        <v>418</v>
      </c>
      <c r="H1566" s="2" t="s">
        <v>36</v>
      </c>
      <c r="I1566" s="2" t="s">
        <v>3872</v>
      </c>
      <c r="J1566" s="3" t="str">
        <f>HYPERLINK("https://www.boe.es/gazeta/dias/1818/02/17/pdfs/GMD-1818-21.pdf#page=9","Abrir facsímil")</f>
        <v>Abrir facsímil</v>
      </c>
      <c r="K1566" s="3" t="s">
        <v>38</v>
      </c>
    </row>
    <row r="1567" spans="1:11" ht="42" customHeight="1">
      <c r="A1567" s="2" t="s">
        <v>3870</v>
      </c>
      <c r="B1567" s="2" t="s">
        <v>3870</v>
      </c>
      <c r="C1567" s="2" t="s">
        <v>68</v>
      </c>
      <c r="D1567" s="2" t="s">
        <v>69</v>
      </c>
      <c r="E1567" s="5">
        <v>-29894</v>
      </c>
      <c r="F1567" s="3" t="s">
        <v>820</v>
      </c>
      <c r="G1567" s="3" t="s">
        <v>59</v>
      </c>
      <c r="H1567" s="2" t="s">
        <v>36</v>
      </c>
      <c r="I1567" s="2" t="s">
        <v>3873</v>
      </c>
      <c r="J1567" s="3" t="str">
        <f>HYPERLINK("https://www.boe.es/gazeta/dias/1818/02/24/pdfs/GMD-1818-24.pdf#page=6","Abrir facsímil")</f>
        <v>Abrir facsímil</v>
      </c>
      <c r="K1567" s="3" t="s">
        <v>38</v>
      </c>
    </row>
    <row r="1568" spans="1:11" ht="42" customHeight="1">
      <c r="A1568" s="2" t="s">
        <v>3870</v>
      </c>
      <c r="B1568" s="2" t="s">
        <v>3870</v>
      </c>
      <c r="C1568" s="2" t="s">
        <v>26</v>
      </c>
      <c r="D1568" s="2" t="s">
        <v>27</v>
      </c>
      <c r="E1568" s="5">
        <v>-29869</v>
      </c>
      <c r="F1568" s="3" t="s">
        <v>140</v>
      </c>
      <c r="G1568" s="3" t="s">
        <v>59</v>
      </c>
      <c r="H1568" s="2" t="s">
        <v>36</v>
      </c>
      <c r="I1568" s="2" t="s">
        <v>3874</v>
      </c>
      <c r="J1568" s="3" t="str">
        <f>HYPERLINK("https://www.boe.es/gazeta/dias/1818/03/21/pdfs/GMD-1818-35.pdf#page=6","Abrir facsímil")</f>
        <v>Abrir facsímil</v>
      </c>
      <c r="K1568" s="3" t="s">
        <v>38</v>
      </c>
    </row>
    <row r="1569" spans="1:11" ht="42" customHeight="1">
      <c r="A1569" s="2" t="s">
        <v>3870</v>
      </c>
      <c r="B1569" s="2" t="s">
        <v>3870</v>
      </c>
      <c r="C1569" s="2" t="s">
        <v>26</v>
      </c>
      <c r="D1569" s="2" t="s">
        <v>27</v>
      </c>
      <c r="E1569" s="5">
        <v>-29841</v>
      </c>
      <c r="F1569" s="3" t="s">
        <v>19</v>
      </c>
      <c r="G1569" s="3" t="s">
        <v>59</v>
      </c>
      <c r="H1569" s="2" t="s">
        <v>36</v>
      </c>
      <c r="I1569" s="2" t="s">
        <v>3875</v>
      </c>
      <c r="J1569" s="3" t="str">
        <f>HYPERLINK("https://www.boe.es/gazeta/dias/1818/04/18/pdfs/GMD-1818-47.pdf#page=6","Abrir facsímil")</f>
        <v>Abrir facsímil</v>
      </c>
      <c r="K1569" s="3" t="s">
        <v>38</v>
      </c>
    </row>
    <row r="1570" spans="1:11" ht="42" customHeight="1">
      <c r="A1570" s="2" t="s">
        <v>3870</v>
      </c>
      <c r="B1570" s="2" t="s">
        <v>3870</v>
      </c>
      <c r="C1570" s="2" t="s">
        <v>68</v>
      </c>
      <c r="D1570" s="2" t="s">
        <v>69</v>
      </c>
      <c r="E1570" s="5">
        <v>-29838</v>
      </c>
      <c r="F1570" s="3" t="s">
        <v>593</v>
      </c>
      <c r="G1570" s="3" t="s">
        <v>20</v>
      </c>
      <c r="H1570" s="2" t="s">
        <v>36</v>
      </c>
      <c r="I1570" s="2" t="s">
        <v>3876</v>
      </c>
      <c r="J1570" s="3" t="str">
        <f>HYPERLINK("https://www.boe.es/gazeta/dias/1818/04/21/pdfs/GMD-1818-48.pdf#page=7","Abrir facsímil")</f>
        <v>Abrir facsímil</v>
      </c>
      <c r="K1570" s="3" t="s">
        <v>38</v>
      </c>
    </row>
    <row r="1571" spans="1:11" ht="42" customHeight="1">
      <c r="A1571" s="2" t="s">
        <v>3870</v>
      </c>
      <c r="B1571" s="2" t="s">
        <v>3870</v>
      </c>
      <c r="C1571" s="2" t="s">
        <v>97</v>
      </c>
      <c r="D1571" s="2" t="s">
        <v>18</v>
      </c>
      <c r="E1571" s="5">
        <v>-29775</v>
      </c>
      <c r="F1571" s="3" t="s">
        <v>1245</v>
      </c>
      <c r="G1571" s="3" t="s">
        <v>2558</v>
      </c>
      <c r="H1571" s="2" t="s">
        <v>36</v>
      </c>
      <c r="I1571" s="2" t="s">
        <v>3877</v>
      </c>
      <c r="J1571" s="3" t="str">
        <f>HYPERLINK("https://www.boe.es/gazeta/dias/1818/06/23/pdfs/GMD-1818-75.pdf#page=8","Abrir facsímil")</f>
        <v>Abrir facsímil</v>
      </c>
      <c r="K1571" s="3" t="s">
        <v>38</v>
      </c>
    </row>
    <row r="1572" spans="1:11" ht="42" customHeight="1">
      <c r="A1572" s="2" t="s">
        <v>3870</v>
      </c>
      <c r="B1572" s="2" t="s">
        <v>3870</v>
      </c>
      <c r="C1572" s="2" t="s">
        <v>33</v>
      </c>
      <c r="D1572" s="2" t="s">
        <v>18</v>
      </c>
      <c r="E1572" s="5">
        <v>-29736</v>
      </c>
      <c r="F1572" s="3" t="s">
        <v>581</v>
      </c>
      <c r="G1572" s="3" t="s">
        <v>106</v>
      </c>
      <c r="H1572" s="2" t="s">
        <v>36</v>
      </c>
      <c r="I1572" s="2" t="s">
        <v>3878</v>
      </c>
      <c r="J1572" s="3" t="str">
        <f>HYPERLINK("https://www.boe.es/gazeta/dias/1818/08/01/pdfs/GMD-1818-92.pdf#page=5","Abrir facsímil")</f>
        <v>Abrir facsímil</v>
      </c>
      <c r="K1572" s="3" t="s">
        <v>38</v>
      </c>
    </row>
    <row r="1573" spans="1:11" ht="42" customHeight="1">
      <c r="A1573" s="2" t="s">
        <v>3870</v>
      </c>
      <c r="B1573" s="2" t="s">
        <v>3870</v>
      </c>
      <c r="C1573" s="2" t="s">
        <v>68</v>
      </c>
      <c r="D1573" s="2" t="s">
        <v>69</v>
      </c>
      <c r="E1573" s="5">
        <v>-29712</v>
      </c>
      <c r="F1573" s="3" t="s">
        <v>1309</v>
      </c>
      <c r="G1573" s="3" t="s">
        <v>1310</v>
      </c>
      <c r="H1573" s="2" t="s">
        <v>36</v>
      </c>
      <c r="I1573" s="2" t="s">
        <v>3879</v>
      </c>
      <c r="J1573" s="3" t="str">
        <f>HYPERLINK("https://www.boe.es/gazeta/dias/1818/08/25/pdfs/GMD-1818-102.pdf#page=8","Abrir facsímil")</f>
        <v>Abrir facsímil</v>
      </c>
      <c r="K1573" s="3" t="s">
        <v>38</v>
      </c>
    </row>
    <row r="1574" spans="1:11" ht="42" customHeight="1">
      <c r="A1574" s="2" t="s">
        <v>3870</v>
      </c>
      <c r="B1574" s="2" t="s">
        <v>3870</v>
      </c>
      <c r="C1574" s="2" t="s">
        <v>26</v>
      </c>
      <c r="D1574" s="2" t="s">
        <v>27</v>
      </c>
      <c r="E1574" s="5">
        <v>-29710</v>
      </c>
      <c r="F1574" s="3" t="s">
        <v>1026</v>
      </c>
      <c r="G1574" s="3" t="s">
        <v>1027</v>
      </c>
      <c r="H1574" s="2" t="s">
        <v>36</v>
      </c>
      <c r="I1574" s="2" t="s">
        <v>3880</v>
      </c>
      <c r="J1574" s="3" t="str">
        <f>HYPERLINK("https://www.boe.es/gazeta/dias/1818/08/27/pdfs/GMD-1818-103.pdf#page=6","Abrir facsímil")</f>
        <v>Abrir facsímil</v>
      </c>
      <c r="K1574" s="3" t="s">
        <v>38</v>
      </c>
    </row>
    <row r="1575" spans="1:11" ht="42" customHeight="1">
      <c r="A1575" s="2" t="s">
        <v>3870</v>
      </c>
      <c r="B1575" s="2" t="s">
        <v>3870</v>
      </c>
      <c r="C1575" s="2" t="s">
        <v>17</v>
      </c>
      <c r="D1575" s="2" t="s">
        <v>18</v>
      </c>
      <c r="E1575" s="5">
        <v>-29698</v>
      </c>
      <c r="F1575" s="3" t="s">
        <v>148</v>
      </c>
      <c r="G1575" s="3" t="s">
        <v>29</v>
      </c>
      <c r="H1575" s="2" t="s">
        <v>36</v>
      </c>
      <c r="I1575" s="2" t="s">
        <v>3881</v>
      </c>
      <c r="J1575" s="3" t="str">
        <f>HYPERLINK("https://www.boe.es/gazeta/dias/1818/09/08/pdfs/GMD-1818-108.pdf#page=4","Abrir facsímil")</f>
        <v>Abrir facsímil</v>
      </c>
      <c r="K1575" s="3" t="s">
        <v>38</v>
      </c>
    </row>
    <row r="1576" spans="1:11" ht="42" customHeight="1">
      <c r="A1576" s="2" t="s">
        <v>3870</v>
      </c>
      <c r="B1576" s="2" t="s">
        <v>3870</v>
      </c>
      <c r="C1576" s="2" t="s">
        <v>68</v>
      </c>
      <c r="D1576" s="2" t="s">
        <v>69</v>
      </c>
      <c r="E1576" s="5">
        <v>-29684</v>
      </c>
      <c r="F1576" s="3" t="s">
        <v>311</v>
      </c>
      <c r="G1576" s="3" t="s">
        <v>45</v>
      </c>
      <c r="H1576" s="2" t="s">
        <v>36</v>
      </c>
      <c r="I1576" s="2" t="s">
        <v>3882</v>
      </c>
      <c r="J1576" s="3" t="str">
        <f>HYPERLINK("https://www.boe.es/gazeta/dias/1818/09/22/pdfs/GMD-1818-114.pdf#page=8","Abrir facsímil")</f>
        <v>Abrir facsímil</v>
      </c>
      <c r="K1576" s="3" t="s">
        <v>38</v>
      </c>
    </row>
    <row r="1577" spans="1:11" ht="42" customHeight="1">
      <c r="A1577" s="2" t="s">
        <v>3870</v>
      </c>
      <c r="B1577" s="2" t="s">
        <v>3870</v>
      </c>
      <c r="C1577" s="2" t="s">
        <v>215</v>
      </c>
      <c r="D1577" s="2" t="s">
        <v>18</v>
      </c>
      <c r="E1577" s="5">
        <v>-29670</v>
      </c>
      <c r="F1577" s="3" t="s">
        <v>48</v>
      </c>
      <c r="G1577" s="3" t="s">
        <v>49</v>
      </c>
      <c r="H1577" s="2" t="s">
        <v>36</v>
      </c>
      <c r="I1577" s="2" t="s">
        <v>3883</v>
      </c>
      <c r="J1577" s="3" t="str">
        <f>HYPERLINK("https://www.boe.es/gazeta/dias/1818/10/06/pdfs/GMD-1818-120.pdf#page=1","Abrir facsímil")</f>
        <v>Abrir facsímil</v>
      </c>
      <c r="K1577" s="3" t="s">
        <v>38</v>
      </c>
    </row>
    <row r="1578" spans="1:11" ht="42" customHeight="1">
      <c r="A1578" s="2" t="s">
        <v>3870</v>
      </c>
      <c r="B1578" s="2" t="s">
        <v>3870</v>
      </c>
      <c r="C1578" s="2" t="s">
        <v>26</v>
      </c>
      <c r="D1578" s="2" t="s">
        <v>27</v>
      </c>
      <c r="E1578" s="5">
        <v>-29586</v>
      </c>
      <c r="F1578" s="3" t="s">
        <v>683</v>
      </c>
      <c r="G1578" s="3" t="s">
        <v>59</v>
      </c>
      <c r="H1578" s="2" t="s">
        <v>36</v>
      </c>
      <c r="I1578" s="2" t="s">
        <v>3884</v>
      </c>
      <c r="J1578" s="3" t="str">
        <f>HYPERLINK("https://www.boe.es/gazeta/dias/1818/12/29/pdfs/GMD-1818-158.pdf#page=6","Abrir facsímil")</f>
        <v>Abrir facsímil</v>
      </c>
      <c r="K1578" s="3" t="s">
        <v>38</v>
      </c>
    </row>
    <row r="1579" spans="1:11" ht="42" customHeight="1">
      <c r="A1579" s="2" t="s">
        <v>3885</v>
      </c>
      <c r="B1579" s="2" t="s">
        <v>3886</v>
      </c>
      <c r="C1579" s="2" t="s">
        <v>17</v>
      </c>
      <c r="D1579" s="2" t="s">
        <v>18</v>
      </c>
      <c r="E1579" s="5">
        <v>-29703</v>
      </c>
      <c r="F1579" s="3" t="s">
        <v>294</v>
      </c>
      <c r="G1579" s="3" t="s">
        <v>59</v>
      </c>
      <c r="H1579" s="2" t="s">
        <v>36</v>
      </c>
      <c r="I1579" s="2" t="s">
        <v>3887</v>
      </c>
      <c r="J1579" s="3" t="str">
        <f>HYPERLINK("https://www.boe.es/gazeta/dias/1818/09/03/pdfs/GMD-1818-106.pdf#page=6","Abrir facsímil")</f>
        <v>Abrir facsímil</v>
      </c>
      <c r="K1579" s="3" t="s">
        <v>38</v>
      </c>
    </row>
    <row r="1580" spans="1:11" ht="42" customHeight="1">
      <c r="A1580" s="2" t="s">
        <v>3888</v>
      </c>
      <c r="B1580" s="2" t="s">
        <v>3889</v>
      </c>
      <c r="C1580" s="2" t="s">
        <v>68</v>
      </c>
      <c r="D1580" s="2" t="s">
        <v>668</v>
      </c>
      <c r="E1580" s="5">
        <v>-29661</v>
      </c>
      <c r="F1580" s="3" t="s">
        <v>669</v>
      </c>
      <c r="G1580" s="3" t="s">
        <v>120</v>
      </c>
      <c r="H1580" s="2" t="s">
        <v>36</v>
      </c>
      <c r="I1580" s="2" t="s">
        <v>3890</v>
      </c>
      <c r="J1580" s="3" t="str">
        <f>HYPERLINK("https://www.boe.es/gazeta/dias/1818/10/15/pdfs/GMD-1818-125E.pdf#page=2","Abrir facsímil")</f>
        <v>Abrir facsímil</v>
      </c>
      <c r="K1580" s="3" t="s">
        <v>38</v>
      </c>
    </row>
    <row r="1581" spans="1:11" ht="42" customHeight="1">
      <c r="A1581" s="2" t="s">
        <v>3891</v>
      </c>
      <c r="B1581" s="2" t="s">
        <v>3892</v>
      </c>
      <c r="C1581" s="2" t="s">
        <v>17</v>
      </c>
      <c r="D1581" s="2" t="s">
        <v>18</v>
      </c>
      <c r="E1581" s="5">
        <v>-29703</v>
      </c>
      <c r="F1581" s="3" t="s">
        <v>294</v>
      </c>
      <c r="G1581" s="3" t="s">
        <v>59</v>
      </c>
      <c r="H1581" s="2" t="s">
        <v>36</v>
      </c>
      <c r="I1581" s="2" t="s">
        <v>3893</v>
      </c>
      <c r="J1581" s="3" t="str">
        <f>HYPERLINK("https://www.boe.es/gazeta/dias/1818/09/03/pdfs/GMD-1818-106.pdf#page=6","Abrir facsímil")</f>
        <v>Abrir facsímil</v>
      </c>
      <c r="K1581" s="3" t="s">
        <v>38</v>
      </c>
    </row>
    <row r="1582" spans="1:11" ht="42" customHeight="1">
      <c r="A1582" s="2" t="s">
        <v>3894</v>
      </c>
      <c r="B1582" s="2" t="s">
        <v>3894</v>
      </c>
      <c r="C1582" s="2" t="s">
        <v>26</v>
      </c>
      <c r="D1582" s="2" t="s">
        <v>27</v>
      </c>
      <c r="E1582" s="5">
        <v>-29932</v>
      </c>
      <c r="F1582" s="3" t="s">
        <v>34</v>
      </c>
      <c r="G1582" s="3" t="s">
        <v>106</v>
      </c>
      <c r="H1582" s="2" t="s">
        <v>36</v>
      </c>
      <c r="I1582" s="2" t="s">
        <v>3895</v>
      </c>
      <c r="J1582" s="3" t="str">
        <f>HYPERLINK("https://www.boe.es/gazeta/dias/1818/01/17/pdfs/GMD-1818-8.pdf#page=5","Abrir facsímil")</f>
        <v>Abrir facsímil</v>
      </c>
      <c r="K1582" s="3" t="s">
        <v>38</v>
      </c>
    </row>
    <row r="1583" spans="1:11" ht="42" customHeight="1">
      <c r="A1583" s="2" t="s">
        <v>3894</v>
      </c>
      <c r="B1583" s="2" t="s">
        <v>3894</v>
      </c>
      <c r="C1583" s="2" t="s">
        <v>17</v>
      </c>
      <c r="D1583" s="2" t="s">
        <v>18</v>
      </c>
      <c r="E1583" s="5">
        <v>-29831</v>
      </c>
      <c r="F1583" s="3" t="s">
        <v>567</v>
      </c>
      <c r="G1583" s="3" t="s">
        <v>20</v>
      </c>
      <c r="H1583" s="2" t="s">
        <v>36</v>
      </c>
      <c r="I1583" s="2" t="s">
        <v>3896</v>
      </c>
      <c r="J1583" s="3" t="str">
        <f>HYPERLINK("https://www.boe.es/gazeta/dias/1818/04/28/pdfs/GMD-1818-51.pdf#page=7","Abrir facsímil")</f>
        <v>Abrir facsímil</v>
      </c>
      <c r="K1583" s="3" t="s">
        <v>38</v>
      </c>
    </row>
    <row r="1584" spans="1:11" ht="42" customHeight="1">
      <c r="A1584" s="2" t="s">
        <v>3894</v>
      </c>
      <c r="B1584" s="2" t="s">
        <v>3894</v>
      </c>
      <c r="C1584" s="2" t="s">
        <v>17</v>
      </c>
      <c r="D1584" s="2" t="s">
        <v>18</v>
      </c>
      <c r="E1584" s="5">
        <v>-29773</v>
      </c>
      <c r="F1584" s="3" t="s">
        <v>424</v>
      </c>
      <c r="G1584" s="3" t="s">
        <v>106</v>
      </c>
      <c r="H1584" s="2" t="s">
        <v>36</v>
      </c>
      <c r="I1584" s="2" t="s">
        <v>3897</v>
      </c>
      <c r="J1584" s="3" t="str">
        <f>HYPERLINK("https://www.boe.es/gazeta/dias/1818/06/25/pdfs/GMD-1818-76.pdf#page=5","Abrir facsímil")</f>
        <v>Abrir facsímil</v>
      </c>
      <c r="K1584" s="3" t="s">
        <v>38</v>
      </c>
    </row>
    <row r="1585" spans="1:11" ht="42" customHeight="1">
      <c r="A1585" s="2" t="s">
        <v>3894</v>
      </c>
      <c r="B1585" s="2" t="s">
        <v>3894</v>
      </c>
      <c r="C1585" s="2" t="s">
        <v>26</v>
      </c>
      <c r="D1585" s="2" t="s">
        <v>27</v>
      </c>
      <c r="E1585" s="5">
        <v>-29754</v>
      </c>
      <c r="F1585" s="3" t="s">
        <v>466</v>
      </c>
      <c r="G1585" s="3" t="s">
        <v>29</v>
      </c>
      <c r="H1585" s="2" t="s">
        <v>36</v>
      </c>
      <c r="I1585" s="2" t="s">
        <v>3898</v>
      </c>
      <c r="J1585" s="3" t="str">
        <f>HYPERLINK("https://www.boe.es/gazeta/dias/1818/07/14/pdfs/GMD-1818-84.pdf#page=4","Abrir facsímil")</f>
        <v>Abrir facsímil</v>
      </c>
      <c r="K1585" s="3" t="s">
        <v>38</v>
      </c>
    </row>
    <row r="1586" spans="1:11" ht="42" customHeight="1">
      <c r="A1586" s="2" t="s">
        <v>3894</v>
      </c>
      <c r="B1586" s="2" t="s">
        <v>3894</v>
      </c>
      <c r="C1586" s="2" t="s">
        <v>68</v>
      </c>
      <c r="D1586" s="2" t="s">
        <v>69</v>
      </c>
      <c r="E1586" s="5">
        <v>-29647</v>
      </c>
      <c r="F1586" s="3" t="s">
        <v>1547</v>
      </c>
      <c r="G1586" s="3" t="s">
        <v>45</v>
      </c>
      <c r="H1586" s="2" t="s">
        <v>36</v>
      </c>
      <c r="I1586" s="2" t="s">
        <v>3899</v>
      </c>
      <c r="J1586" s="3" t="str">
        <f>HYPERLINK("https://www.boe.es/gazeta/dias/1818/10/29/pdfs/GMD-1818-131.pdf#page=8","Abrir facsímil")</f>
        <v>Abrir facsímil</v>
      </c>
      <c r="K1586" s="3" t="s">
        <v>38</v>
      </c>
    </row>
    <row r="1587" spans="1:11" ht="42" customHeight="1">
      <c r="A1587" s="2" t="s">
        <v>3900</v>
      </c>
      <c r="B1587" s="2" t="s">
        <v>3901</v>
      </c>
      <c r="C1587" s="2" t="s">
        <v>68</v>
      </c>
      <c r="D1587" s="2" t="s">
        <v>69</v>
      </c>
      <c r="E1587" s="5">
        <v>-29864</v>
      </c>
      <c r="F1587" s="3" t="s">
        <v>196</v>
      </c>
      <c r="G1587" s="3" t="s">
        <v>106</v>
      </c>
      <c r="H1587" s="2" t="s">
        <v>36</v>
      </c>
      <c r="I1587" s="2" t="s">
        <v>3902</v>
      </c>
      <c r="J1587" s="3" t="str">
        <f>HYPERLINK("https://www.boe.es/gazeta/dias/1818/03/26/pdfs/GMD-1818-37.pdf#page=5","Abrir facsímil")</f>
        <v>Abrir facsímil</v>
      </c>
      <c r="K1587" s="3" t="s">
        <v>38</v>
      </c>
    </row>
    <row r="1588" spans="1:11" ht="42" customHeight="1">
      <c r="A1588" s="2" t="s">
        <v>3903</v>
      </c>
      <c r="B1588" s="2" t="s">
        <v>3903</v>
      </c>
      <c r="C1588" s="2" t="s">
        <v>68</v>
      </c>
      <c r="D1588" s="2" t="s">
        <v>69</v>
      </c>
      <c r="E1588" s="5">
        <v>-29878</v>
      </c>
      <c r="F1588" s="3" t="s">
        <v>353</v>
      </c>
      <c r="G1588" s="3" t="s">
        <v>120</v>
      </c>
      <c r="H1588" s="2" t="s">
        <v>36</v>
      </c>
      <c r="I1588" s="2" t="s">
        <v>3904</v>
      </c>
      <c r="J1588" s="3" t="str">
        <f>HYPERLINK("https://www.boe.es/gazeta/dias/1818/03/12/pdfs/GMD-1818-31.pdf#page=2","Abrir facsímil")</f>
        <v>Abrir facsímil</v>
      </c>
      <c r="K1588" s="3" t="s">
        <v>38</v>
      </c>
    </row>
    <row r="1589" spans="1:11" ht="42" customHeight="1">
      <c r="A1589" s="2" t="s">
        <v>3905</v>
      </c>
      <c r="B1589" s="2" t="s">
        <v>3906</v>
      </c>
      <c r="C1589" s="2" t="s">
        <v>68</v>
      </c>
      <c r="D1589" s="2" t="s">
        <v>69</v>
      </c>
      <c r="E1589" s="5">
        <v>-29740</v>
      </c>
      <c r="F1589" s="3" t="s">
        <v>152</v>
      </c>
      <c r="G1589" s="3" t="s">
        <v>85</v>
      </c>
      <c r="H1589" s="2" t="s">
        <v>36</v>
      </c>
      <c r="I1589" s="2" t="s">
        <v>3907</v>
      </c>
      <c r="J1589" s="3" t="str">
        <f>HYPERLINK("https://www.boe.es/gazeta/dias/1818/07/28/pdfs/GMD-1818-90.pdf#page=3","Abrir facsímil")</f>
        <v>Abrir facsímil</v>
      </c>
      <c r="K1589" s="3" t="s">
        <v>38</v>
      </c>
    </row>
    <row r="1590" spans="1:11" ht="42" customHeight="1">
      <c r="A1590" s="2" t="s">
        <v>3908</v>
      </c>
      <c r="B1590" s="2" t="s">
        <v>3908</v>
      </c>
      <c r="C1590" s="2" t="s">
        <v>26</v>
      </c>
      <c r="D1590" s="2" t="s">
        <v>27</v>
      </c>
      <c r="E1590" s="5">
        <v>-29946</v>
      </c>
      <c r="F1590" s="3" t="s">
        <v>724</v>
      </c>
      <c r="G1590" s="3" t="s">
        <v>106</v>
      </c>
      <c r="H1590" s="2" t="s">
        <v>36</v>
      </c>
      <c r="I1590" s="2" t="s">
        <v>3909</v>
      </c>
      <c r="J1590" s="3" t="str">
        <f>HYPERLINK("https://www.boe.es/gazeta/dias/1818/01/03/pdfs/GMD-1818-2.pdf#page=5","Abrir facsímil")</f>
        <v>Abrir facsímil</v>
      </c>
      <c r="K1590" s="3" t="s">
        <v>38</v>
      </c>
    </row>
    <row r="1591" spans="1:11" ht="42" customHeight="1">
      <c r="A1591" s="2" t="s">
        <v>3908</v>
      </c>
      <c r="B1591" s="2" t="s">
        <v>3908</v>
      </c>
      <c r="C1591" s="2" t="s">
        <v>26</v>
      </c>
      <c r="D1591" s="2" t="s">
        <v>27</v>
      </c>
      <c r="E1591" s="5">
        <v>-29946</v>
      </c>
      <c r="F1591" s="3" t="s">
        <v>724</v>
      </c>
      <c r="G1591" s="3" t="s">
        <v>59</v>
      </c>
      <c r="H1591" s="2" t="s">
        <v>36</v>
      </c>
      <c r="I1591" s="2" t="s">
        <v>3910</v>
      </c>
      <c r="J1591" s="3" t="str">
        <f>HYPERLINK("https://www.boe.es/gazeta/dias/1818/01/03/pdfs/GMD-1818-2.pdf#page=6","Abrir facsímil")</f>
        <v>Abrir facsímil</v>
      </c>
      <c r="K1591" s="3" t="s">
        <v>38</v>
      </c>
    </row>
    <row r="1592" spans="1:11" ht="42" customHeight="1">
      <c r="A1592" s="2" t="s">
        <v>3908</v>
      </c>
      <c r="B1592" s="2" t="s">
        <v>3908</v>
      </c>
      <c r="C1592" s="2" t="s">
        <v>26</v>
      </c>
      <c r="D1592" s="2" t="s">
        <v>27</v>
      </c>
      <c r="E1592" s="5">
        <v>-29927</v>
      </c>
      <c r="F1592" s="3" t="s">
        <v>1381</v>
      </c>
      <c r="G1592" s="3" t="s">
        <v>59</v>
      </c>
      <c r="H1592" s="2" t="s">
        <v>36</v>
      </c>
      <c r="I1592" s="2" t="s">
        <v>3911</v>
      </c>
      <c r="J1592" s="3" t="str">
        <f>HYPERLINK("https://www.boe.es/gazeta/dias/1818/01/22/pdfs/GMD-1818-10.pdf#page=6","Abrir facsímil")</f>
        <v>Abrir facsímil</v>
      </c>
      <c r="K1592" s="3" t="s">
        <v>38</v>
      </c>
    </row>
    <row r="1593" spans="1:11" ht="42" customHeight="1">
      <c r="A1593" s="2" t="s">
        <v>3908</v>
      </c>
      <c r="B1593" s="2" t="s">
        <v>3908</v>
      </c>
      <c r="C1593" s="2" t="s">
        <v>26</v>
      </c>
      <c r="D1593" s="2" t="s">
        <v>27</v>
      </c>
      <c r="E1593" s="5">
        <v>-29915</v>
      </c>
      <c r="F1593" s="3" t="s">
        <v>429</v>
      </c>
      <c r="G1593" s="3" t="s">
        <v>20</v>
      </c>
      <c r="H1593" s="2" t="s">
        <v>36</v>
      </c>
      <c r="I1593" s="2" t="s">
        <v>3912</v>
      </c>
      <c r="J1593" s="3" t="str">
        <f>HYPERLINK("https://www.boe.es/gazeta/dias/1818/02/03/pdfs/GMD-1818-15.pdf#page=7","Abrir facsímil")</f>
        <v>Abrir facsímil</v>
      </c>
      <c r="K1593" s="3" t="s">
        <v>38</v>
      </c>
    </row>
    <row r="1594" spans="1:11" ht="42" customHeight="1">
      <c r="A1594" s="2" t="s">
        <v>3908</v>
      </c>
      <c r="B1594" s="2" t="s">
        <v>3908</v>
      </c>
      <c r="C1594" s="2" t="s">
        <v>26</v>
      </c>
      <c r="D1594" s="2" t="s">
        <v>27</v>
      </c>
      <c r="E1594" s="5">
        <v>-29887</v>
      </c>
      <c r="F1594" s="3" t="s">
        <v>613</v>
      </c>
      <c r="G1594" s="3" t="s">
        <v>59</v>
      </c>
      <c r="H1594" s="2" t="s">
        <v>36</v>
      </c>
      <c r="I1594" s="2" t="s">
        <v>3913</v>
      </c>
      <c r="J1594" s="3" t="str">
        <f>HYPERLINK("https://www.boe.es/gazeta/dias/1818/03/03/pdfs/GMD-1818-27.pdf#page=6","Abrir facsímil")</f>
        <v>Abrir facsímil</v>
      </c>
      <c r="K1594" s="3" t="s">
        <v>38</v>
      </c>
    </row>
    <row r="1595" spans="1:11" ht="42" customHeight="1">
      <c r="A1595" s="2" t="s">
        <v>3908</v>
      </c>
      <c r="B1595" s="2" t="s">
        <v>3908</v>
      </c>
      <c r="C1595" s="2" t="s">
        <v>68</v>
      </c>
      <c r="D1595" s="2" t="s">
        <v>69</v>
      </c>
      <c r="E1595" s="5">
        <v>-29850</v>
      </c>
      <c r="F1595" s="3" t="s">
        <v>1051</v>
      </c>
      <c r="G1595" s="3" t="s">
        <v>29</v>
      </c>
      <c r="H1595" s="2" t="s">
        <v>36</v>
      </c>
      <c r="I1595" s="2" t="s">
        <v>3914</v>
      </c>
      <c r="J1595" s="3" t="str">
        <f>HYPERLINK("https://www.boe.es/gazeta/dias/1818/04/09/pdfs/GMD-1818-43.pdf#page=4","Abrir facsímil")</f>
        <v>Abrir facsímil</v>
      </c>
      <c r="K1595" s="3" t="s">
        <v>38</v>
      </c>
    </row>
    <row r="1596" spans="1:11" ht="42" customHeight="1">
      <c r="A1596" s="2" t="s">
        <v>3908</v>
      </c>
      <c r="B1596" s="2" t="s">
        <v>3908</v>
      </c>
      <c r="C1596" s="2" t="s">
        <v>68</v>
      </c>
      <c r="D1596" s="2" t="s">
        <v>69</v>
      </c>
      <c r="E1596" s="5">
        <v>-29820</v>
      </c>
      <c r="F1596" s="3" t="s">
        <v>2971</v>
      </c>
      <c r="G1596" s="3" t="s">
        <v>2972</v>
      </c>
      <c r="H1596" s="2" t="s">
        <v>36</v>
      </c>
      <c r="I1596" s="2" t="s">
        <v>3915</v>
      </c>
      <c r="J1596" s="3" t="str">
        <f>HYPERLINK("https://www.boe.es/gazeta/dias/1818/05/09/pdfs/GMD-1818-56.pdf#page=8","Abrir facsímil")</f>
        <v>Abrir facsímil</v>
      </c>
      <c r="K1596" s="3" t="s">
        <v>38</v>
      </c>
    </row>
    <row r="1597" spans="1:11" ht="42" customHeight="1">
      <c r="A1597" s="2" t="s">
        <v>3908</v>
      </c>
      <c r="B1597" s="2" t="s">
        <v>3908</v>
      </c>
      <c r="C1597" s="2" t="s">
        <v>26</v>
      </c>
      <c r="D1597" s="2" t="s">
        <v>27</v>
      </c>
      <c r="E1597" s="5">
        <v>-29796</v>
      </c>
      <c r="F1597" s="3" t="s">
        <v>1359</v>
      </c>
      <c r="G1597" s="3" t="s">
        <v>1360</v>
      </c>
      <c r="H1597" s="2" t="s">
        <v>36</v>
      </c>
      <c r="I1597" s="2" t="s">
        <v>3916</v>
      </c>
      <c r="J1597" s="3" t="str">
        <f>HYPERLINK("https://www.boe.es/gazeta/dias/1818/06/02/pdfs/GMD-1818-66.pdf#page=6","Abrir facsímil")</f>
        <v>Abrir facsímil</v>
      </c>
      <c r="K1597" s="3" t="s">
        <v>38</v>
      </c>
    </row>
    <row r="1598" spans="1:11" ht="42" customHeight="1">
      <c r="A1598" s="2" t="s">
        <v>3908</v>
      </c>
      <c r="B1598" s="2" t="s">
        <v>3908</v>
      </c>
      <c r="C1598" s="2" t="s">
        <v>17</v>
      </c>
      <c r="D1598" s="2" t="s">
        <v>18</v>
      </c>
      <c r="E1598" s="5">
        <v>-29796</v>
      </c>
      <c r="F1598" s="3" t="s">
        <v>1359</v>
      </c>
      <c r="G1598" s="3" t="s">
        <v>20</v>
      </c>
      <c r="H1598" s="2" t="s">
        <v>36</v>
      </c>
      <c r="I1598" s="2" t="s">
        <v>3917</v>
      </c>
      <c r="J1598" s="3" t="str">
        <f>HYPERLINK("https://www.boe.es/gazeta/dias/1818/06/02/pdfs/GMD-1818-66.pdf#page=7","Abrir facsímil")</f>
        <v>Abrir facsímil</v>
      </c>
      <c r="K1598" s="3" t="s">
        <v>38</v>
      </c>
    </row>
    <row r="1599" spans="1:11" ht="42" customHeight="1">
      <c r="A1599" s="2" t="s">
        <v>3908</v>
      </c>
      <c r="B1599" s="2" t="s">
        <v>3908</v>
      </c>
      <c r="C1599" s="2" t="s">
        <v>17</v>
      </c>
      <c r="D1599" s="2" t="s">
        <v>18</v>
      </c>
      <c r="E1599" s="5">
        <v>-29794</v>
      </c>
      <c r="F1599" s="3" t="s">
        <v>127</v>
      </c>
      <c r="G1599" s="3" t="s">
        <v>45</v>
      </c>
      <c r="H1599" s="2" t="s">
        <v>36</v>
      </c>
      <c r="I1599" s="2" t="s">
        <v>3918</v>
      </c>
      <c r="J1599" s="3" t="str">
        <f>HYPERLINK("https://www.boe.es/gazeta/dias/1818/06/04/pdfs/GMD-1818-67.pdf#page=8","Abrir facsímil")</f>
        <v>Abrir facsímil</v>
      </c>
      <c r="K1599" s="3" t="s">
        <v>38</v>
      </c>
    </row>
    <row r="1600" spans="1:11" ht="42" customHeight="1">
      <c r="A1600" s="2" t="s">
        <v>3908</v>
      </c>
      <c r="B1600" s="2" t="s">
        <v>3908</v>
      </c>
      <c r="C1600" s="2" t="s">
        <v>17</v>
      </c>
      <c r="D1600" s="2" t="s">
        <v>18</v>
      </c>
      <c r="E1600" s="5">
        <v>-29768</v>
      </c>
      <c r="F1600" s="3" t="s">
        <v>253</v>
      </c>
      <c r="G1600" s="3" t="s">
        <v>254</v>
      </c>
      <c r="H1600" s="2" t="s">
        <v>36</v>
      </c>
      <c r="I1600" s="2" t="s">
        <v>3919</v>
      </c>
      <c r="J1600" s="3" t="str">
        <f>HYPERLINK("https://www.boe.es/gazeta/dias/1818/06/30/pdfs/GMD-1818-78.pdf#page=6","Abrir facsímil")</f>
        <v>Abrir facsímil</v>
      </c>
      <c r="K1600" s="3" t="s">
        <v>38</v>
      </c>
    </row>
    <row r="1601" spans="1:11" ht="42" customHeight="1">
      <c r="A1601" s="2" t="s">
        <v>3920</v>
      </c>
      <c r="B1601" s="2" t="s">
        <v>3920</v>
      </c>
      <c r="C1601" s="2" t="s">
        <v>97</v>
      </c>
      <c r="D1601" s="2" t="s">
        <v>18</v>
      </c>
      <c r="E1601" s="5">
        <v>-29750</v>
      </c>
      <c r="F1601" s="3" t="s">
        <v>384</v>
      </c>
      <c r="G1601" s="3" t="s">
        <v>116</v>
      </c>
      <c r="H1601" s="2" t="s">
        <v>36</v>
      </c>
      <c r="I1601" s="2" t="s">
        <v>3921</v>
      </c>
      <c r="J1601" s="3" t="str">
        <f>HYPERLINK("https://www.boe.es/gazeta/dias/1818/07/18/pdfs/GMD-1818-86.pdf#page=12","Abrir facsímil")</f>
        <v>Abrir facsímil</v>
      </c>
      <c r="K1601" s="3" t="s">
        <v>38</v>
      </c>
    </row>
    <row r="1602" spans="1:11" ht="42" customHeight="1">
      <c r="A1602" s="2" t="s">
        <v>3908</v>
      </c>
      <c r="B1602" s="2" t="s">
        <v>3908</v>
      </c>
      <c r="C1602" s="2" t="s">
        <v>63</v>
      </c>
      <c r="D1602" s="2" t="s">
        <v>18</v>
      </c>
      <c r="E1602" s="5">
        <v>-29691</v>
      </c>
      <c r="F1602" s="3" t="s">
        <v>144</v>
      </c>
      <c r="G1602" s="3" t="s">
        <v>45</v>
      </c>
      <c r="H1602" s="2" t="s">
        <v>36</v>
      </c>
      <c r="I1602" s="2" t="s">
        <v>3922</v>
      </c>
      <c r="J1602" s="3" t="str">
        <f>HYPERLINK("https://www.boe.es/gazeta/dias/1818/09/15/pdfs/GMD-1818-111.pdf#page=8","Abrir facsímil")</f>
        <v>Abrir facsímil</v>
      </c>
      <c r="K1602" s="3" t="s">
        <v>38</v>
      </c>
    </row>
    <row r="1603" spans="1:11" ht="42" customHeight="1">
      <c r="A1603" s="2" t="s">
        <v>3908</v>
      </c>
      <c r="B1603" s="2" t="s">
        <v>3908</v>
      </c>
      <c r="C1603" s="2" t="s">
        <v>26</v>
      </c>
      <c r="D1603" s="2" t="s">
        <v>27</v>
      </c>
      <c r="E1603" s="5">
        <v>-29680</v>
      </c>
      <c r="F1603" s="3" t="s">
        <v>865</v>
      </c>
      <c r="G1603" s="3" t="s">
        <v>45</v>
      </c>
      <c r="H1603" s="2" t="s">
        <v>36</v>
      </c>
      <c r="I1603" s="2" t="s">
        <v>3923</v>
      </c>
      <c r="J1603" s="3" t="str">
        <f>HYPERLINK("https://www.boe.es/gazeta/dias/1818/09/26/pdfs/GMD-1818-116.pdf#page=8","Abrir facsímil")</f>
        <v>Abrir facsímil</v>
      </c>
      <c r="K1603" s="3" t="s">
        <v>38</v>
      </c>
    </row>
    <row r="1604" spans="1:11" ht="42" customHeight="1">
      <c r="A1604" s="2" t="s">
        <v>3908</v>
      </c>
      <c r="B1604" s="2" t="s">
        <v>3908</v>
      </c>
      <c r="C1604" s="2" t="s">
        <v>68</v>
      </c>
      <c r="D1604" s="2" t="s">
        <v>668</v>
      </c>
      <c r="E1604" s="5">
        <v>-29661</v>
      </c>
      <c r="F1604" s="3" t="s">
        <v>669</v>
      </c>
      <c r="G1604" s="3" t="s">
        <v>49</v>
      </c>
      <c r="H1604" s="2" t="s">
        <v>36</v>
      </c>
      <c r="I1604" s="2" t="s">
        <v>3924</v>
      </c>
      <c r="J1604" s="3" t="str">
        <f>HYPERLINK("https://www.boe.es/gazeta/dias/1818/10/15/pdfs/GMD-1818-125E.pdf#page=1","Abrir facsímil")</f>
        <v>Abrir facsímil</v>
      </c>
      <c r="K1604" s="3" t="s">
        <v>38</v>
      </c>
    </row>
    <row r="1605" spans="1:11" ht="42" customHeight="1">
      <c r="A1605" s="2" t="s">
        <v>3908</v>
      </c>
      <c r="B1605" s="2" t="s">
        <v>3908</v>
      </c>
      <c r="C1605" s="2" t="s">
        <v>26</v>
      </c>
      <c r="D1605" s="2" t="s">
        <v>27</v>
      </c>
      <c r="E1605" s="5">
        <v>-29631</v>
      </c>
      <c r="F1605" s="3" t="s">
        <v>743</v>
      </c>
      <c r="G1605" s="3" t="s">
        <v>3691</v>
      </c>
      <c r="H1605" s="2" t="s">
        <v>36</v>
      </c>
      <c r="I1605" s="2" t="s">
        <v>3925</v>
      </c>
      <c r="J1605" s="3" t="str">
        <f>HYPERLINK("https://www.boe.es/gazeta/dias/1818/11/14/pdfs/GMD-1818-138.pdf#page=8","Abrir facsímil")</f>
        <v>Abrir facsímil</v>
      </c>
      <c r="K1605" s="3" t="s">
        <v>38</v>
      </c>
    </row>
    <row r="1606" spans="1:11" ht="42" customHeight="1">
      <c r="A1606" s="2" t="s">
        <v>3908</v>
      </c>
      <c r="B1606" s="2" t="s">
        <v>3908</v>
      </c>
      <c r="C1606" s="2" t="s">
        <v>63</v>
      </c>
      <c r="D1606" s="2" t="s">
        <v>18</v>
      </c>
      <c r="E1606" s="5">
        <v>-29617</v>
      </c>
      <c r="F1606" s="3" t="s">
        <v>995</v>
      </c>
      <c r="G1606" s="3" t="s">
        <v>45</v>
      </c>
      <c r="H1606" s="2" t="s">
        <v>36</v>
      </c>
      <c r="I1606" s="2" t="s">
        <v>3926</v>
      </c>
      <c r="J1606" s="3" t="str">
        <f>HYPERLINK("https://www.boe.es/gazeta/dias/1818/11/28/pdfs/GMD-1818-144.pdf#page=8","Abrir facsímil")</f>
        <v>Abrir facsímil</v>
      </c>
      <c r="K1606" s="3" t="s">
        <v>38</v>
      </c>
    </row>
    <row r="1607" spans="1:11" ht="42" customHeight="1">
      <c r="A1607" s="2" t="s">
        <v>3908</v>
      </c>
      <c r="B1607" s="2" t="s">
        <v>3908</v>
      </c>
      <c r="C1607" s="2" t="s">
        <v>26</v>
      </c>
      <c r="D1607" s="2" t="s">
        <v>27</v>
      </c>
      <c r="E1607" s="5">
        <v>-29589</v>
      </c>
      <c r="F1607" s="3" t="s">
        <v>210</v>
      </c>
      <c r="G1607" s="3" t="s">
        <v>29</v>
      </c>
      <c r="H1607" s="2" t="s">
        <v>36</v>
      </c>
      <c r="I1607" s="2" t="s">
        <v>3927</v>
      </c>
      <c r="J1607" s="3" t="str">
        <f>HYPERLINK("https://www.boe.es/gazeta/dias/1818/12/26/pdfs/GMD-1818-156.pdf#page=4","Abrir facsímil")</f>
        <v>Abrir facsímil</v>
      </c>
      <c r="K1607" s="3" t="s">
        <v>38</v>
      </c>
    </row>
    <row r="1608" spans="1:11" ht="42" customHeight="1">
      <c r="A1608" s="2" t="s">
        <v>3928</v>
      </c>
      <c r="B1608" s="2" t="s">
        <v>3929</v>
      </c>
      <c r="C1608" s="2" t="s">
        <v>26</v>
      </c>
      <c r="D1608" s="2" t="s">
        <v>27</v>
      </c>
      <c r="E1608" s="5">
        <v>-29939</v>
      </c>
      <c r="F1608" s="3" t="s">
        <v>110</v>
      </c>
      <c r="G1608" s="3" t="s">
        <v>20</v>
      </c>
      <c r="H1608" s="2" t="s">
        <v>36</v>
      </c>
      <c r="I1608" s="2" t="s">
        <v>3930</v>
      </c>
      <c r="J1608" s="3" t="str">
        <f>HYPERLINK("https://www.boe.es/gazeta/dias/1818/01/10/pdfs/GMD-1818-5.pdf#page=7","Abrir facsímil")</f>
        <v>Abrir facsímil</v>
      </c>
      <c r="K1608" s="3" t="s">
        <v>38</v>
      </c>
    </row>
    <row r="1609" spans="1:11" ht="42" customHeight="1">
      <c r="A1609" s="2" t="s">
        <v>3931</v>
      </c>
      <c r="B1609" s="2" t="s">
        <v>3932</v>
      </c>
      <c r="C1609" s="2" t="s">
        <v>68</v>
      </c>
      <c r="D1609" s="2" t="s">
        <v>69</v>
      </c>
      <c r="E1609" s="5">
        <v>-29920</v>
      </c>
      <c r="F1609" s="3" t="s">
        <v>201</v>
      </c>
      <c r="G1609" s="3" t="s">
        <v>71</v>
      </c>
      <c r="H1609" s="2" t="s">
        <v>36</v>
      </c>
      <c r="I1609" s="2" t="s">
        <v>3933</v>
      </c>
      <c r="J1609" s="3" t="str">
        <f>HYPERLINK("https://www.boe.es/gazeta/dias/1818/01/29/pdfs/GMD-1818-13.pdf#page=16","Abrir facsímil")</f>
        <v>Abrir facsímil</v>
      </c>
      <c r="K1609" s="3" t="s">
        <v>38</v>
      </c>
    </row>
    <row r="1610" spans="1:11" ht="42" customHeight="1">
      <c r="A1610" s="2" t="s">
        <v>3934</v>
      </c>
      <c r="B1610" s="2" t="s">
        <v>3935</v>
      </c>
      <c r="C1610" s="2" t="s">
        <v>17</v>
      </c>
      <c r="D1610" s="2" t="s">
        <v>18</v>
      </c>
      <c r="E1610" s="5">
        <v>-29631</v>
      </c>
      <c r="F1610" s="3" t="s">
        <v>743</v>
      </c>
      <c r="G1610" s="3" t="s">
        <v>106</v>
      </c>
      <c r="H1610" s="2" t="s">
        <v>36</v>
      </c>
      <c r="I1610" s="2" t="s">
        <v>3936</v>
      </c>
      <c r="J1610" s="3" t="str">
        <f>HYPERLINK("https://www.boe.es/gazeta/dias/1818/11/14/pdfs/GMD-1818-138.pdf#page=5","Abrir facsímil")</f>
        <v>Abrir facsímil</v>
      </c>
      <c r="K1610" s="3" t="s">
        <v>38</v>
      </c>
    </row>
    <row r="1611" spans="1:11" ht="42" customHeight="1">
      <c r="A1611" s="2" t="s">
        <v>3937</v>
      </c>
      <c r="B1611" s="2" t="s">
        <v>3937</v>
      </c>
      <c r="C1611" s="2" t="s">
        <v>33</v>
      </c>
      <c r="D1611" s="2" t="s">
        <v>18</v>
      </c>
      <c r="E1611" s="5">
        <v>-29698</v>
      </c>
      <c r="F1611" s="3" t="s">
        <v>148</v>
      </c>
      <c r="G1611" s="3" t="s">
        <v>29</v>
      </c>
      <c r="H1611" s="2" t="s">
        <v>36</v>
      </c>
      <c r="I1611" s="2" t="s">
        <v>3938</v>
      </c>
      <c r="J1611" s="3" t="str">
        <f>HYPERLINK("https://www.boe.es/gazeta/dias/1818/09/08/pdfs/GMD-1818-108.pdf#page=4","Abrir facsímil")</f>
        <v>Abrir facsímil</v>
      </c>
      <c r="K1611" s="3" t="s">
        <v>38</v>
      </c>
    </row>
    <row r="1612" spans="1:11" ht="42" customHeight="1">
      <c r="A1612" s="2" t="s">
        <v>3939</v>
      </c>
      <c r="B1612" s="2" t="s">
        <v>3939</v>
      </c>
      <c r="C1612" s="2" t="s">
        <v>26</v>
      </c>
      <c r="D1612" s="2" t="s">
        <v>27</v>
      </c>
      <c r="E1612" s="5">
        <v>-29694</v>
      </c>
      <c r="F1612" s="3" t="s">
        <v>528</v>
      </c>
      <c r="G1612" s="3" t="s">
        <v>59</v>
      </c>
      <c r="H1612" s="2" t="s">
        <v>36</v>
      </c>
      <c r="I1612" s="2" t="s">
        <v>3940</v>
      </c>
      <c r="J1612" s="3" t="str">
        <f>HYPERLINK("https://www.boe.es/gazeta/dias/1818/09/12/pdfs/GMD-1818-110.pdf#page=6","Abrir facsímil")</f>
        <v>Abrir facsímil</v>
      </c>
      <c r="K1612" s="3" t="s">
        <v>38</v>
      </c>
    </row>
    <row r="1613" spans="1:11" ht="42" customHeight="1">
      <c r="A1613" s="2" t="s">
        <v>3941</v>
      </c>
      <c r="B1613" s="2" t="s">
        <v>3942</v>
      </c>
      <c r="C1613" s="2" t="s">
        <v>26</v>
      </c>
      <c r="D1613" s="2" t="s">
        <v>27</v>
      </c>
      <c r="E1613" s="5">
        <v>-29738</v>
      </c>
      <c r="F1613" s="3" t="s">
        <v>263</v>
      </c>
      <c r="G1613" s="3" t="s">
        <v>45</v>
      </c>
      <c r="H1613" s="2" t="s">
        <v>36</v>
      </c>
      <c r="I1613" s="2" t="s">
        <v>3943</v>
      </c>
      <c r="J1613" s="3" t="str">
        <f>HYPERLINK("https://www.boe.es/gazeta/dias/1818/07/30/pdfs/GMD-1818-91.pdf#page=8","Abrir facsímil")</f>
        <v>Abrir facsímil</v>
      </c>
      <c r="K1613" s="3" t="s">
        <v>38</v>
      </c>
    </row>
    <row r="1614" spans="1:11" ht="42" customHeight="1">
      <c r="A1614" s="2" t="s">
        <v>3941</v>
      </c>
      <c r="B1614" s="2" t="s">
        <v>3942</v>
      </c>
      <c r="C1614" s="2" t="s">
        <v>26</v>
      </c>
      <c r="D1614" s="2" t="s">
        <v>27</v>
      </c>
      <c r="E1614" s="5">
        <v>-29719</v>
      </c>
      <c r="F1614" s="3" t="s">
        <v>243</v>
      </c>
      <c r="G1614" s="3" t="s">
        <v>59</v>
      </c>
      <c r="H1614" s="2" t="s">
        <v>36</v>
      </c>
      <c r="I1614" s="2" t="s">
        <v>3944</v>
      </c>
      <c r="J1614" s="3" t="str">
        <f>HYPERLINK("https://www.boe.es/gazeta/dias/1818/08/18/pdfs/GMD-1818-99.pdf#page=6","Abrir facsímil")</f>
        <v>Abrir facsímil</v>
      </c>
      <c r="K1614" s="3" t="s">
        <v>38</v>
      </c>
    </row>
    <row r="1615" spans="1:11" ht="42" customHeight="1">
      <c r="A1615" s="2" t="s">
        <v>3945</v>
      </c>
      <c r="B1615" s="2" t="s">
        <v>3946</v>
      </c>
      <c r="C1615" s="2" t="s">
        <v>17</v>
      </c>
      <c r="D1615" s="2" t="s">
        <v>18</v>
      </c>
      <c r="E1615" s="5">
        <v>-29932</v>
      </c>
      <c r="F1615" s="3" t="s">
        <v>34</v>
      </c>
      <c r="G1615" s="3" t="s">
        <v>35</v>
      </c>
      <c r="H1615" s="2" t="s">
        <v>36</v>
      </c>
      <c r="I1615" s="2" t="s">
        <v>3947</v>
      </c>
      <c r="J1615" s="3" t="str">
        <f>HYPERLINK("https://www.boe.es/gazeta/dias/1818/01/17/pdfs/GMD-1818-8.pdf#page=8","Abrir facsímil")</f>
        <v>Abrir facsímil</v>
      </c>
      <c r="K1615" s="3" t="s">
        <v>38</v>
      </c>
    </row>
    <row r="1616" spans="1:11" ht="42" customHeight="1">
      <c r="A1616" s="2" t="s">
        <v>3945</v>
      </c>
      <c r="B1616" s="2" t="s">
        <v>3946</v>
      </c>
      <c r="C1616" s="2" t="s">
        <v>57</v>
      </c>
      <c r="D1616" s="2" t="s">
        <v>18</v>
      </c>
      <c r="E1616" s="5">
        <v>-29892</v>
      </c>
      <c r="F1616" s="3" t="s">
        <v>39</v>
      </c>
      <c r="G1616" s="3" t="s">
        <v>40</v>
      </c>
      <c r="H1616" s="2" t="s">
        <v>36</v>
      </c>
      <c r="I1616" s="2" t="s">
        <v>3948</v>
      </c>
      <c r="J1616" s="3" t="str">
        <f>HYPERLINK("https://www.boe.es/gazeta/dias/1818/02/26/pdfs/GMD-1818-25.pdf#page=8","Abrir facsímil")</f>
        <v>Abrir facsímil</v>
      </c>
      <c r="K1616" s="3" t="s">
        <v>38</v>
      </c>
    </row>
    <row r="1617" spans="1:11" ht="42" customHeight="1">
      <c r="A1617" s="2" t="s">
        <v>3949</v>
      </c>
      <c r="B1617" s="2" t="s">
        <v>3950</v>
      </c>
      <c r="C1617" s="2" t="s">
        <v>17</v>
      </c>
      <c r="D1617" s="2" t="s">
        <v>18</v>
      </c>
      <c r="E1617" s="5">
        <v>-29698</v>
      </c>
      <c r="F1617" s="3" t="s">
        <v>148</v>
      </c>
      <c r="G1617" s="3" t="s">
        <v>29</v>
      </c>
      <c r="H1617" s="2" t="s">
        <v>36</v>
      </c>
      <c r="I1617" s="2" t="s">
        <v>3951</v>
      </c>
      <c r="J1617" s="3" t="str">
        <f>HYPERLINK("https://www.boe.es/gazeta/dias/1818/09/08/pdfs/GMD-1818-108.pdf#page=4","Abrir facsímil")</f>
        <v>Abrir facsímil</v>
      </c>
      <c r="K1617" s="3" t="s">
        <v>38</v>
      </c>
    </row>
    <row r="1618" spans="1:11" ht="42" customHeight="1">
      <c r="A1618" s="2" t="s">
        <v>3952</v>
      </c>
      <c r="B1618" s="2" t="s">
        <v>3952</v>
      </c>
      <c r="C1618" s="2" t="s">
        <v>57</v>
      </c>
      <c r="D1618" s="2" t="s">
        <v>18</v>
      </c>
      <c r="E1618" s="5">
        <v>-29855</v>
      </c>
      <c r="F1618" s="3" t="s">
        <v>676</v>
      </c>
      <c r="G1618" s="3" t="s">
        <v>3515</v>
      </c>
      <c r="H1618" s="2" t="s">
        <v>36</v>
      </c>
      <c r="I1618" s="2" t="s">
        <v>3953</v>
      </c>
      <c r="J1618" s="3" t="str">
        <f>HYPERLINK("https://www.boe.es/gazeta/dias/1818/04/04/pdfs/GMD-1818-41.pdf#page=3","Abrir facsímil")</f>
        <v>Abrir facsímil</v>
      </c>
      <c r="K1618" s="3" t="s">
        <v>38</v>
      </c>
    </row>
    <row r="1619" spans="1:11" ht="42" customHeight="1">
      <c r="A1619" s="2" t="s">
        <v>3954</v>
      </c>
      <c r="B1619" s="2" t="s">
        <v>3955</v>
      </c>
      <c r="C1619" s="2" t="s">
        <v>63</v>
      </c>
      <c r="D1619" s="2" t="s">
        <v>18</v>
      </c>
      <c r="E1619" s="5">
        <v>-29771</v>
      </c>
      <c r="F1619" s="3" t="s">
        <v>1260</v>
      </c>
      <c r="G1619" s="3" t="s">
        <v>45</v>
      </c>
      <c r="H1619" s="2" t="s">
        <v>36</v>
      </c>
      <c r="I1619" s="2" t="s">
        <v>3956</v>
      </c>
      <c r="J1619" s="3" t="str">
        <f>HYPERLINK("https://www.boe.es/gazeta/dias/1818/06/27/pdfs/GMD-1818-77.pdf#page=8","Abrir facsímil")</f>
        <v>Abrir facsímil</v>
      </c>
      <c r="K1619" s="3" t="s">
        <v>38</v>
      </c>
    </row>
    <row r="1620" spans="1:11" ht="42" customHeight="1">
      <c r="A1620" s="2" t="s">
        <v>3957</v>
      </c>
      <c r="B1620" s="2" t="s">
        <v>3957</v>
      </c>
      <c r="C1620" s="2" t="s">
        <v>26</v>
      </c>
      <c r="D1620" s="2" t="s">
        <v>27</v>
      </c>
      <c r="E1620" s="5">
        <v>-29598</v>
      </c>
      <c r="F1620" s="3" t="s">
        <v>98</v>
      </c>
      <c r="G1620" s="3" t="s">
        <v>85</v>
      </c>
      <c r="H1620" s="2" t="s">
        <v>36</v>
      </c>
      <c r="I1620" s="2" t="s">
        <v>3958</v>
      </c>
      <c r="J1620" s="3" t="str">
        <f>HYPERLINK("https://www.boe.es/gazeta/dias/1818/12/17/pdfs/GMD-1818-152.pdf#page=3","Abrir facsímil")</f>
        <v>Abrir facsímil</v>
      </c>
      <c r="K1620" s="3" t="s">
        <v>38</v>
      </c>
    </row>
    <row r="1621" spans="1:11" ht="42" customHeight="1">
      <c r="A1621" s="2" t="s">
        <v>3957</v>
      </c>
      <c r="B1621" s="2" t="s">
        <v>3957</v>
      </c>
      <c r="C1621" s="2" t="s">
        <v>26</v>
      </c>
      <c r="D1621" s="2" t="s">
        <v>27</v>
      </c>
      <c r="E1621" s="5">
        <v>-29593</v>
      </c>
      <c r="F1621" s="3" t="s">
        <v>185</v>
      </c>
      <c r="G1621" s="3" t="s">
        <v>85</v>
      </c>
      <c r="H1621" s="2" t="s">
        <v>36</v>
      </c>
      <c r="I1621" s="2" t="s">
        <v>3959</v>
      </c>
      <c r="J1621" s="3" t="str">
        <f>HYPERLINK("https://www.boe.es/gazeta/dias/1818/12/22/pdfs/GMD-1818-154.pdf#page=3","Abrir facsímil")</f>
        <v>Abrir facsímil</v>
      </c>
      <c r="K1621" s="3" t="s">
        <v>38</v>
      </c>
    </row>
    <row r="1622" spans="1:11" ht="42" customHeight="1">
      <c r="A1622" s="2" t="s">
        <v>3960</v>
      </c>
      <c r="B1622" s="2" t="s">
        <v>3961</v>
      </c>
      <c r="C1622" s="2" t="s">
        <v>17</v>
      </c>
      <c r="D1622" s="2" t="s">
        <v>18</v>
      </c>
      <c r="E1622" s="5">
        <v>-29631</v>
      </c>
      <c r="F1622" s="3" t="s">
        <v>743</v>
      </c>
      <c r="G1622" s="3" t="s">
        <v>106</v>
      </c>
      <c r="H1622" s="2" t="s">
        <v>36</v>
      </c>
      <c r="I1622" s="2" t="s">
        <v>3962</v>
      </c>
      <c r="J1622" s="3" t="str">
        <f>HYPERLINK("https://www.boe.es/gazeta/dias/1818/11/14/pdfs/GMD-1818-138.pdf#page=5","Abrir facsímil")</f>
        <v>Abrir facsímil</v>
      </c>
      <c r="K1622" s="3" t="s">
        <v>38</v>
      </c>
    </row>
    <row r="1623" spans="1:11" ht="42" customHeight="1">
      <c r="A1623" s="2" t="s">
        <v>3963</v>
      </c>
      <c r="B1623" s="2" t="s">
        <v>3964</v>
      </c>
      <c r="C1623" s="2" t="s">
        <v>26</v>
      </c>
      <c r="D1623" s="2" t="s">
        <v>27</v>
      </c>
      <c r="E1623" s="5">
        <v>-29750</v>
      </c>
      <c r="F1623" s="3" t="s">
        <v>384</v>
      </c>
      <c r="G1623" s="3" t="s">
        <v>20</v>
      </c>
      <c r="H1623" s="2" t="s">
        <v>36</v>
      </c>
      <c r="I1623" s="2" t="s">
        <v>3965</v>
      </c>
      <c r="J1623" s="3" t="str">
        <f>HYPERLINK("https://www.boe.es/gazeta/dias/1818/07/18/pdfs/GMD-1818-86.pdf#page=7","Abrir facsímil")</f>
        <v>Abrir facsímil</v>
      </c>
      <c r="K1623" s="3" t="s">
        <v>38</v>
      </c>
    </row>
    <row r="1624" spans="1:11" ht="42" customHeight="1">
      <c r="A1624" s="2" t="s">
        <v>3966</v>
      </c>
      <c r="B1624" s="2" t="s">
        <v>3967</v>
      </c>
      <c r="C1624" s="2" t="s">
        <v>26</v>
      </c>
      <c r="D1624" s="2" t="s">
        <v>27</v>
      </c>
      <c r="E1624" s="5">
        <v>-29897</v>
      </c>
      <c r="F1624" s="3" t="s">
        <v>318</v>
      </c>
      <c r="G1624" s="3" t="s">
        <v>106</v>
      </c>
      <c r="H1624" s="2" t="s">
        <v>36</v>
      </c>
      <c r="I1624" s="2" t="s">
        <v>3968</v>
      </c>
      <c r="J1624" s="3" t="str">
        <f>HYPERLINK("https://www.boe.es/gazeta/dias/1818/02/21/pdfs/GMD-1818-23.pdf#page=5","Abrir facsímil")</f>
        <v>Abrir facsímil</v>
      </c>
      <c r="K1624" s="3" t="s">
        <v>38</v>
      </c>
    </row>
    <row r="1625" spans="1:11" ht="42" customHeight="1">
      <c r="A1625" s="2" t="s">
        <v>3969</v>
      </c>
      <c r="B1625" s="2" t="s">
        <v>3969</v>
      </c>
      <c r="C1625" s="2" t="s">
        <v>26</v>
      </c>
      <c r="D1625" s="2" t="s">
        <v>27</v>
      </c>
      <c r="E1625" s="5">
        <v>-29892</v>
      </c>
      <c r="F1625" s="3" t="s">
        <v>39</v>
      </c>
      <c r="G1625" s="3" t="s">
        <v>3970</v>
      </c>
      <c r="H1625" s="2" t="s">
        <v>36</v>
      </c>
      <c r="I1625" s="2" t="s">
        <v>3971</v>
      </c>
      <c r="J1625" s="3" t="str">
        <f>HYPERLINK("https://www.boe.es/gazeta/dias/1818/02/26/pdfs/GMD-1818-25.pdf#page=4","Abrir facsímil")</f>
        <v>Abrir facsímil</v>
      </c>
      <c r="K1625" s="3" t="s">
        <v>38</v>
      </c>
    </row>
    <row r="1626" spans="1:11" ht="42" customHeight="1">
      <c r="A1626" s="2" t="s">
        <v>3972</v>
      </c>
      <c r="B1626" s="2" t="s">
        <v>3973</v>
      </c>
      <c r="C1626" s="2" t="s">
        <v>26</v>
      </c>
      <c r="D1626" s="2" t="s">
        <v>27</v>
      </c>
      <c r="E1626" s="5">
        <v>-29892</v>
      </c>
      <c r="F1626" s="3" t="s">
        <v>39</v>
      </c>
      <c r="G1626" s="3" t="s">
        <v>3970</v>
      </c>
      <c r="H1626" s="2" t="s">
        <v>36</v>
      </c>
      <c r="I1626" s="2" t="s">
        <v>3974</v>
      </c>
      <c r="J1626" s="3" t="str">
        <f>HYPERLINK("https://www.boe.es/gazeta/dias/1818/02/26/pdfs/GMD-1818-25.pdf#page=4","Abrir facsímil")</f>
        <v>Abrir facsímil</v>
      </c>
      <c r="K1626" s="3" t="s">
        <v>38</v>
      </c>
    </row>
    <row r="1627" spans="1:11" ht="42" customHeight="1">
      <c r="A1627" s="2" t="s">
        <v>3975</v>
      </c>
      <c r="B1627" s="2" t="s">
        <v>3976</v>
      </c>
      <c r="C1627" s="2" t="s">
        <v>26</v>
      </c>
      <c r="D1627" s="2" t="s">
        <v>27</v>
      </c>
      <c r="E1627" s="5">
        <v>-29920</v>
      </c>
      <c r="F1627" s="3" t="s">
        <v>201</v>
      </c>
      <c r="G1627" s="3" t="s">
        <v>106</v>
      </c>
      <c r="H1627" s="2" t="s">
        <v>21</v>
      </c>
      <c r="I1627" s="2" t="s">
        <v>3977</v>
      </c>
      <c r="J1627" s="3" t="str">
        <f>HYPERLINK("https://www.boe.es/gazeta/dias/1818/01/29/pdfs/GMD-1818-13.pdf#page=5","Abrir facsímil")</f>
        <v>Abrir facsímil</v>
      </c>
      <c r="K1627" s="3" t="s">
        <v>23</v>
      </c>
    </row>
    <row r="1628" spans="1:11" ht="42" customHeight="1">
      <c r="A1628" s="2" t="s">
        <v>3978</v>
      </c>
      <c r="B1628" s="2" t="s">
        <v>3979</v>
      </c>
      <c r="C1628" s="2" t="s">
        <v>26</v>
      </c>
      <c r="D1628" s="2" t="s">
        <v>27</v>
      </c>
      <c r="E1628" s="5">
        <v>-29918</v>
      </c>
      <c r="F1628" s="3" t="s">
        <v>89</v>
      </c>
      <c r="G1628" s="3" t="s">
        <v>366</v>
      </c>
      <c r="H1628" s="2" t="s">
        <v>36</v>
      </c>
      <c r="I1628" s="2" t="s">
        <v>3980</v>
      </c>
      <c r="J1628" s="3" t="str">
        <f>HYPERLINK("https://www.boe.es/gazeta/dias/1818/01/31/pdfs/GMD-1818-14.pdf#page=5","Abrir facsímil")</f>
        <v>Abrir facsímil</v>
      </c>
      <c r="K1628" s="3" t="s">
        <v>38</v>
      </c>
    </row>
    <row r="1629" spans="1:11" ht="42" customHeight="1">
      <c r="A1629" s="2" t="s">
        <v>3981</v>
      </c>
      <c r="B1629" s="2" t="s">
        <v>3982</v>
      </c>
      <c r="C1629" s="2" t="s">
        <v>57</v>
      </c>
      <c r="D1629" s="2" t="s">
        <v>18</v>
      </c>
      <c r="E1629" s="5">
        <v>-29703</v>
      </c>
      <c r="F1629" s="3" t="s">
        <v>294</v>
      </c>
      <c r="G1629" s="3" t="s">
        <v>20</v>
      </c>
      <c r="H1629" s="2" t="s">
        <v>36</v>
      </c>
      <c r="I1629" s="2" t="s">
        <v>3983</v>
      </c>
      <c r="J1629" s="3" t="str">
        <f>HYPERLINK("https://www.boe.es/gazeta/dias/1818/09/03/pdfs/GMD-1818-106.pdf#page=7","Abrir facsímil")</f>
        <v>Abrir facsímil</v>
      </c>
      <c r="K1629" s="3" t="s">
        <v>38</v>
      </c>
    </row>
    <row r="1630" spans="1:11" ht="42" customHeight="1">
      <c r="A1630" s="2" t="s">
        <v>3984</v>
      </c>
      <c r="B1630" s="2" t="s">
        <v>3985</v>
      </c>
      <c r="C1630" s="2" t="s">
        <v>26</v>
      </c>
      <c r="D1630" s="2" t="s">
        <v>27</v>
      </c>
      <c r="E1630" s="5">
        <v>-29866</v>
      </c>
      <c r="F1630" s="3" t="s">
        <v>828</v>
      </c>
      <c r="G1630" s="3" t="s">
        <v>29</v>
      </c>
      <c r="H1630" s="2" t="s">
        <v>36</v>
      </c>
      <c r="I1630" s="2" t="s">
        <v>3986</v>
      </c>
      <c r="J1630" s="3" t="str">
        <f>HYPERLINK("https://www.boe.es/gazeta/dias/1818/03/24/pdfs/GMD-1818-36.pdf#page=4","Abrir facsímil")</f>
        <v>Abrir facsímil</v>
      </c>
      <c r="K1630" s="3" t="s">
        <v>38</v>
      </c>
    </row>
    <row r="1631" spans="1:11" ht="42" customHeight="1">
      <c r="A1631" s="2" t="s">
        <v>3987</v>
      </c>
      <c r="B1631" s="2" t="s">
        <v>3988</v>
      </c>
      <c r="C1631" s="2" t="s">
        <v>17</v>
      </c>
      <c r="D1631" s="2" t="s">
        <v>18</v>
      </c>
      <c r="E1631" s="5">
        <v>-29698</v>
      </c>
      <c r="F1631" s="3" t="s">
        <v>148</v>
      </c>
      <c r="G1631" s="3" t="s">
        <v>29</v>
      </c>
      <c r="H1631" s="2" t="s">
        <v>36</v>
      </c>
      <c r="I1631" s="2" t="s">
        <v>3989</v>
      </c>
      <c r="J1631" s="3" t="str">
        <f>HYPERLINK("https://www.boe.es/gazeta/dias/1818/09/08/pdfs/GMD-1818-108.pdf#page=4","Abrir facsímil")</f>
        <v>Abrir facsímil</v>
      </c>
      <c r="K1631" s="3" t="s">
        <v>38</v>
      </c>
    </row>
    <row r="1632" spans="1:11" ht="42" customHeight="1">
      <c r="A1632" s="2" t="s">
        <v>3990</v>
      </c>
      <c r="B1632" s="2" t="s">
        <v>3991</v>
      </c>
      <c r="C1632" s="2" t="s">
        <v>63</v>
      </c>
      <c r="D1632" s="2" t="s">
        <v>18</v>
      </c>
      <c r="E1632" s="5">
        <v>-29871</v>
      </c>
      <c r="F1632" s="3" t="s">
        <v>641</v>
      </c>
      <c r="G1632" s="3" t="s">
        <v>20</v>
      </c>
      <c r="H1632" s="2" t="s">
        <v>36</v>
      </c>
      <c r="I1632" s="2" t="s">
        <v>3992</v>
      </c>
      <c r="J1632" s="3" t="str">
        <f>HYPERLINK("https://www.boe.es/gazeta/dias/1818/03/19/pdfs/GMD-1818-34.pdf#page=7","Abrir facsímil")</f>
        <v>Abrir facsímil</v>
      </c>
      <c r="K1632" s="3" t="s">
        <v>38</v>
      </c>
    </row>
    <row r="1633" spans="1:11" ht="42" customHeight="1">
      <c r="A1633" s="2" t="s">
        <v>3993</v>
      </c>
      <c r="B1633" s="2" t="s">
        <v>3994</v>
      </c>
      <c r="C1633" s="2" t="s">
        <v>26</v>
      </c>
      <c r="D1633" s="2" t="s">
        <v>27</v>
      </c>
      <c r="E1633" s="5">
        <v>-29743</v>
      </c>
      <c r="F1633" s="3" t="s">
        <v>734</v>
      </c>
      <c r="G1633" s="3" t="s">
        <v>45</v>
      </c>
      <c r="H1633" s="2" t="s">
        <v>21</v>
      </c>
      <c r="I1633" s="2" t="s">
        <v>3995</v>
      </c>
      <c r="J1633" s="3" t="str">
        <f>HYPERLINK("https://www.boe.es/gazeta/dias/1818/07/25/pdfs/GMD-1818-89.pdf#page=8","Abrir facsímil")</f>
        <v>Abrir facsímil</v>
      </c>
      <c r="K1633" s="3" t="s">
        <v>23</v>
      </c>
    </row>
    <row r="1634" spans="1:11" ht="42" customHeight="1">
      <c r="A1634" s="2" t="s">
        <v>3996</v>
      </c>
      <c r="B1634" s="2" t="s">
        <v>3997</v>
      </c>
      <c r="C1634" s="2" t="s">
        <v>26</v>
      </c>
      <c r="D1634" s="2" t="s">
        <v>27</v>
      </c>
      <c r="E1634" s="5">
        <v>-29719</v>
      </c>
      <c r="F1634" s="3" t="s">
        <v>243</v>
      </c>
      <c r="G1634" s="3" t="s">
        <v>772</v>
      </c>
      <c r="H1634" s="2" t="s">
        <v>36</v>
      </c>
      <c r="I1634" s="2" t="s">
        <v>3998</v>
      </c>
      <c r="J1634" s="3" t="str">
        <f>HYPERLINK("https://www.boe.es/gazeta/dias/1818/08/18/pdfs/GMD-1818-99.pdf#page=10","Abrir facsímil")</f>
        <v>Abrir facsímil</v>
      </c>
      <c r="K1634" s="3" t="s">
        <v>38</v>
      </c>
    </row>
    <row r="1635" spans="1:11" ht="42" customHeight="1">
      <c r="A1635" s="2" t="s">
        <v>3999</v>
      </c>
      <c r="B1635" s="2" t="s">
        <v>4000</v>
      </c>
      <c r="C1635" s="2" t="s">
        <v>57</v>
      </c>
      <c r="D1635" s="2" t="s">
        <v>18</v>
      </c>
      <c r="E1635" s="5">
        <v>-29834</v>
      </c>
      <c r="F1635" s="3" t="s">
        <v>457</v>
      </c>
      <c r="G1635" s="3" t="s">
        <v>59</v>
      </c>
      <c r="H1635" s="2" t="s">
        <v>36</v>
      </c>
      <c r="I1635" s="2" t="s">
        <v>4001</v>
      </c>
      <c r="J1635" s="3" t="str">
        <f>HYPERLINK("https://www.boe.es/gazeta/dias/1818/04/25/pdfs/GMD-1818-50.pdf#page=6","Abrir facsímil")</f>
        <v>Abrir facsímil</v>
      </c>
      <c r="K1635" s="3" t="s">
        <v>38</v>
      </c>
    </row>
    <row r="1636" spans="1:11" ht="42" customHeight="1">
      <c r="A1636" s="2" t="s">
        <v>4002</v>
      </c>
      <c r="B1636" s="2" t="s">
        <v>4002</v>
      </c>
      <c r="C1636" s="2" t="s">
        <v>26</v>
      </c>
      <c r="D1636" s="2" t="s">
        <v>27</v>
      </c>
      <c r="E1636" s="5">
        <v>-29943</v>
      </c>
      <c r="F1636" s="3" t="s">
        <v>1837</v>
      </c>
      <c r="G1636" s="3" t="s">
        <v>120</v>
      </c>
      <c r="H1636" s="2" t="s">
        <v>36</v>
      </c>
      <c r="I1636" s="2" t="s">
        <v>4003</v>
      </c>
      <c r="J1636" s="3" t="str">
        <f>HYPERLINK("https://www.boe.es/gazeta/dias/1818/01/06/pdfs/GMD-1818-3.pdf#page=2","Abrir facsímil")</f>
        <v>Abrir facsímil</v>
      </c>
      <c r="K1636" s="3" t="s">
        <v>38</v>
      </c>
    </row>
    <row r="1637" spans="1:11" ht="42" customHeight="1">
      <c r="A1637" s="2" t="s">
        <v>4004</v>
      </c>
      <c r="B1637" s="2" t="s">
        <v>4004</v>
      </c>
      <c r="C1637" s="2" t="s">
        <v>17</v>
      </c>
      <c r="D1637" s="2" t="s">
        <v>18</v>
      </c>
      <c r="E1637" s="5">
        <v>-29757</v>
      </c>
      <c r="F1637" s="3" t="s">
        <v>115</v>
      </c>
      <c r="G1637" s="3" t="s">
        <v>20</v>
      </c>
      <c r="H1637" s="2" t="s">
        <v>36</v>
      </c>
      <c r="I1637" s="2" t="s">
        <v>4005</v>
      </c>
      <c r="J1637" s="3" t="str">
        <f>HYPERLINK("https://www.boe.es/gazeta/dias/1818/07/11/pdfs/GMD-1818-83.pdf#page=7","Abrir facsímil")</f>
        <v>Abrir facsímil</v>
      </c>
      <c r="K1637" s="3" t="s">
        <v>38</v>
      </c>
    </row>
    <row r="1638" spans="1:11" ht="42" customHeight="1">
      <c r="A1638" s="2" t="s">
        <v>4006</v>
      </c>
      <c r="B1638" s="2" t="s">
        <v>4007</v>
      </c>
      <c r="C1638" s="2" t="s">
        <v>26</v>
      </c>
      <c r="D1638" s="2" t="s">
        <v>27</v>
      </c>
      <c r="E1638" s="5">
        <v>-29677</v>
      </c>
      <c r="F1638" s="3" t="s">
        <v>157</v>
      </c>
      <c r="G1638" s="3" t="s">
        <v>29</v>
      </c>
      <c r="H1638" s="2" t="s">
        <v>36</v>
      </c>
      <c r="I1638" s="2" t="s">
        <v>4008</v>
      </c>
      <c r="J1638" s="3" t="str">
        <f>HYPERLINK("https://www.boe.es/gazeta/dias/1818/09/29/pdfs/GMD-1818-117.pdf#page=4","Abrir facsímil")</f>
        <v>Abrir facsímil</v>
      </c>
      <c r="K1638" s="3" t="s">
        <v>38</v>
      </c>
    </row>
    <row r="1639" spans="1:11" ht="42" customHeight="1">
      <c r="A1639" s="2" t="s">
        <v>4009</v>
      </c>
      <c r="B1639" s="2" t="s">
        <v>4009</v>
      </c>
      <c r="C1639" s="2" t="s">
        <v>26</v>
      </c>
      <c r="D1639" s="2" t="s">
        <v>27</v>
      </c>
      <c r="E1639" s="5">
        <v>-29915</v>
      </c>
      <c r="F1639" s="3" t="s">
        <v>429</v>
      </c>
      <c r="G1639" s="3" t="s">
        <v>85</v>
      </c>
      <c r="H1639" s="2" t="s">
        <v>36</v>
      </c>
      <c r="I1639" s="2" t="s">
        <v>4010</v>
      </c>
      <c r="J1639" s="3" t="str">
        <f>HYPERLINK("https://www.boe.es/gazeta/dias/1818/02/03/pdfs/GMD-1818-15.pdf#page=3","Abrir facsímil")</f>
        <v>Abrir facsímil</v>
      </c>
      <c r="K1639" s="3" t="s">
        <v>38</v>
      </c>
    </row>
    <row r="1640" spans="1:11" ht="42" customHeight="1">
      <c r="A1640" s="2" t="s">
        <v>4009</v>
      </c>
      <c r="B1640" s="2" t="s">
        <v>4009</v>
      </c>
      <c r="C1640" s="2" t="s">
        <v>26</v>
      </c>
      <c r="D1640" s="2" t="s">
        <v>27</v>
      </c>
      <c r="E1640" s="5">
        <v>-29897</v>
      </c>
      <c r="F1640" s="3" t="s">
        <v>318</v>
      </c>
      <c r="G1640" s="3" t="s">
        <v>120</v>
      </c>
      <c r="H1640" s="2" t="s">
        <v>36</v>
      </c>
      <c r="I1640" s="2" t="s">
        <v>4011</v>
      </c>
      <c r="J1640" s="3" t="str">
        <f>HYPERLINK("https://www.boe.es/gazeta/dias/1818/02/21/pdfs/GMD-1818-23.pdf#page=2","Abrir facsímil")</f>
        <v>Abrir facsímil</v>
      </c>
      <c r="K1640" s="3" t="s">
        <v>38</v>
      </c>
    </row>
    <row r="1641" spans="1:11" ht="42" customHeight="1">
      <c r="A1641" s="2" t="s">
        <v>4009</v>
      </c>
      <c r="B1641" s="2" t="s">
        <v>4009</v>
      </c>
      <c r="C1641" s="2" t="s">
        <v>26</v>
      </c>
      <c r="D1641" s="2" t="s">
        <v>27</v>
      </c>
      <c r="E1641" s="5">
        <v>-29743</v>
      </c>
      <c r="F1641" s="3" t="s">
        <v>734</v>
      </c>
      <c r="G1641" s="3" t="s">
        <v>85</v>
      </c>
      <c r="H1641" s="2" t="s">
        <v>36</v>
      </c>
      <c r="I1641" s="2" t="s">
        <v>4012</v>
      </c>
      <c r="J1641" s="3" t="str">
        <f>HYPERLINK("https://www.boe.es/gazeta/dias/1818/07/25/pdfs/GMD-1818-89.pdf#page=3","Abrir facsímil")</f>
        <v>Abrir facsímil</v>
      </c>
      <c r="K1641" s="3" t="s">
        <v>38</v>
      </c>
    </row>
    <row r="1642" spans="1:11" ht="42" customHeight="1">
      <c r="A1642" s="2" t="s">
        <v>4009</v>
      </c>
      <c r="B1642" s="2" t="s">
        <v>4009</v>
      </c>
      <c r="C1642" s="2" t="s">
        <v>26</v>
      </c>
      <c r="D1642" s="2" t="s">
        <v>27</v>
      </c>
      <c r="E1642" s="5">
        <v>-29635</v>
      </c>
      <c r="F1642" s="3" t="s">
        <v>560</v>
      </c>
      <c r="G1642" s="3" t="s">
        <v>120</v>
      </c>
      <c r="H1642" s="2" t="s">
        <v>36</v>
      </c>
      <c r="I1642" s="2" t="s">
        <v>4013</v>
      </c>
      <c r="J1642" s="3" t="str">
        <f>HYPERLINK("https://www.boe.es/gazeta/dias/1818/11/10/pdfs/GMD-1818-136.pdf#page=2","Abrir facsímil")</f>
        <v>Abrir facsímil</v>
      </c>
      <c r="K1642" s="3" t="s">
        <v>38</v>
      </c>
    </row>
    <row r="1643" spans="1:11" ht="42" customHeight="1">
      <c r="A1643" s="2" t="s">
        <v>4014</v>
      </c>
      <c r="B1643" s="2" t="s">
        <v>4015</v>
      </c>
      <c r="C1643" s="2" t="s">
        <v>26</v>
      </c>
      <c r="D1643" s="2" t="s">
        <v>27</v>
      </c>
      <c r="E1643" s="5">
        <v>-29887</v>
      </c>
      <c r="F1643" s="3" t="s">
        <v>613</v>
      </c>
      <c r="G1643" s="3" t="s">
        <v>59</v>
      </c>
      <c r="H1643" s="2" t="s">
        <v>36</v>
      </c>
      <c r="I1643" s="2" t="s">
        <v>4016</v>
      </c>
      <c r="J1643" s="3" t="str">
        <f>HYPERLINK("https://www.boe.es/gazeta/dias/1818/03/03/pdfs/GMD-1818-27.pdf#page=6","Abrir facsímil")</f>
        <v>Abrir facsímil</v>
      </c>
      <c r="K1643" s="3" t="s">
        <v>38</v>
      </c>
    </row>
    <row r="1644" spans="1:11" ht="42" customHeight="1">
      <c r="A1644" s="2" t="s">
        <v>4017</v>
      </c>
      <c r="B1644" s="2" t="s">
        <v>4018</v>
      </c>
      <c r="C1644" s="2" t="s">
        <v>26</v>
      </c>
      <c r="D1644" s="2" t="s">
        <v>27</v>
      </c>
      <c r="E1644" s="5">
        <v>-29750</v>
      </c>
      <c r="F1644" s="3" t="s">
        <v>384</v>
      </c>
      <c r="G1644" s="3" t="s">
        <v>59</v>
      </c>
      <c r="H1644" s="2" t="s">
        <v>36</v>
      </c>
      <c r="I1644" s="2" t="s">
        <v>4019</v>
      </c>
      <c r="J1644" s="3" t="str">
        <f>HYPERLINK("https://www.boe.es/gazeta/dias/1818/07/18/pdfs/GMD-1818-86.pdf#page=6","Abrir facsímil")</f>
        <v>Abrir facsímil</v>
      </c>
      <c r="K1644" s="3" t="s">
        <v>38</v>
      </c>
    </row>
    <row r="1645" spans="1:11" ht="42" customHeight="1">
      <c r="A1645" s="2" t="s">
        <v>4020</v>
      </c>
      <c r="B1645" s="2" t="s">
        <v>4021</v>
      </c>
      <c r="C1645" s="2" t="s">
        <v>17</v>
      </c>
      <c r="D1645" s="2" t="s">
        <v>18</v>
      </c>
      <c r="E1645" s="5">
        <v>-29824</v>
      </c>
      <c r="F1645" s="3" t="s">
        <v>101</v>
      </c>
      <c r="G1645" s="3" t="s">
        <v>20</v>
      </c>
      <c r="H1645" s="2" t="s">
        <v>36</v>
      </c>
      <c r="I1645" s="2" t="s">
        <v>4022</v>
      </c>
      <c r="J1645" s="3" t="str">
        <f>HYPERLINK("https://www.boe.es/gazeta/dias/1818/05/05/pdfs/GMD-1818-54.pdf#page=7","Abrir facsímil")</f>
        <v>Abrir facsímil</v>
      </c>
      <c r="K1645" s="3" t="s">
        <v>38</v>
      </c>
    </row>
    <row r="1646" spans="1:11" ht="42" customHeight="1">
      <c r="A1646" s="2" t="s">
        <v>4023</v>
      </c>
      <c r="B1646" s="2" t="s">
        <v>4024</v>
      </c>
      <c r="C1646" s="2" t="s">
        <v>17</v>
      </c>
      <c r="D1646" s="2" t="s">
        <v>18</v>
      </c>
      <c r="E1646" s="5">
        <v>-29673</v>
      </c>
      <c r="F1646" s="3" t="s">
        <v>1099</v>
      </c>
      <c r="G1646" s="3" t="s">
        <v>59</v>
      </c>
      <c r="H1646" s="2" t="s">
        <v>21</v>
      </c>
      <c r="I1646" s="2" t="s">
        <v>4025</v>
      </c>
      <c r="J1646" s="3" t="str">
        <f>HYPERLINK("https://www.boe.es/gazeta/dias/1818/10/03/pdfs/GMD-1818-119.pdf#page=6","Abrir facsímil")</f>
        <v>Abrir facsímil</v>
      </c>
      <c r="K1646" s="3" t="s">
        <v>23</v>
      </c>
    </row>
    <row r="1647" spans="1:11" ht="42" customHeight="1">
      <c r="A1647" s="2" t="s">
        <v>4026</v>
      </c>
      <c r="B1647" s="2" t="s">
        <v>4027</v>
      </c>
      <c r="C1647" s="2" t="s">
        <v>33</v>
      </c>
      <c r="D1647" s="2" t="s">
        <v>18</v>
      </c>
      <c r="E1647" s="5">
        <v>-29698</v>
      </c>
      <c r="F1647" s="3" t="s">
        <v>148</v>
      </c>
      <c r="G1647" s="3" t="s">
        <v>106</v>
      </c>
      <c r="H1647" s="2" t="s">
        <v>36</v>
      </c>
      <c r="I1647" s="2" t="s">
        <v>4028</v>
      </c>
      <c r="J1647" s="3" t="str">
        <f>HYPERLINK("https://www.boe.es/gazeta/dias/1818/09/08/pdfs/GMD-1818-108.pdf#page=5","Abrir facsímil")</f>
        <v>Abrir facsímil</v>
      </c>
      <c r="K1647" s="3" t="s">
        <v>38</v>
      </c>
    </row>
    <row r="1648" spans="1:11" ht="42" customHeight="1">
      <c r="A1648" s="2" t="s">
        <v>4029</v>
      </c>
      <c r="B1648" s="2" t="s">
        <v>4029</v>
      </c>
      <c r="C1648" s="2" t="s">
        <v>26</v>
      </c>
      <c r="D1648" s="2" t="s">
        <v>27</v>
      </c>
      <c r="E1648" s="5">
        <v>-29673</v>
      </c>
      <c r="F1648" s="3" t="s">
        <v>1099</v>
      </c>
      <c r="G1648" s="3" t="s">
        <v>29</v>
      </c>
      <c r="H1648" s="2" t="s">
        <v>36</v>
      </c>
      <c r="I1648" s="2" t="s">
        <v>4030</v>
      </c>
      <c r="J1648" s="3" t="str">
        <f>HYPERLINK("https://www.boe.es/gazeta/dias/1818/10/03/pdfs/GMD-1818-119.pdf#page=4","Abrir facsímil")</f>
        <v>Abrir facsímil</v>
      </c>
      <c r="K1648" s="3" t="s">
        <v>38</v>
      </c>
    </row>
    <row r="1649" spans="1:11" ht="42" customHeight="1">
      <c r="A1649" s="2" t="s">
        <v>4031</v>
      </c>
      <c r="B1649" s="2" t="s">
        <v>4032</v>
      </c>
      <c r="C1649" s="2" t="s">
        <v>17</v>
      </c>
      <c r="D1649" s="2" t="s">
        <v>18</v>
      </c>
      <c r="E1649" s="5">
        <v>-29677</v>
      </c>
      <c r="F1649" s="3" t="s">
        <v>157</v>
      </c>
      <c r="G1649" s="3" t="s">
        <v>106</v>
      </c>
      <c r="H1649" s="2" t="s">
        <v>36</v>
      </c>
      <c r="I1649" s="2" t="s">
        <v>4033</v>
      </c>
      <c r="J1649" s="3" t="str">
        <f>HYPERLINK("https://www.boe.es/gazeta/dias/1818/09/29/pdfs/GMD-1818-117.pdf#page=5","Abrir facsímil")</f>
        <v>Abrir facsímil</v>
      </c>
      <c r="K1649" s="3" t="s">
        <v>38</v>
      </c>
    </row>
    <row r="1650" spans="1:11" ht="42" customHeight="1">
      <c r="A1650" s="2" t="s">
        <v>4031</v>
      </c>
      <c r="B1650" s="2" t="s">
        <v>4032</v>
      </c>
      <c r="C1650" s="2" t="s">
        <v>26</v>
      </c>
      <c r="D1650" s="2" t="s">
        <v>27</v>
      </c>
      <c r="E1650" s="5">
        <v>-29673</v>
      </c>
      <c r="F1650" s="3" t="s">
        <v>1099</v>
      </c>
      <c r="G1650" s="3" t="s">
        <v>29</v>
      </c>
      <c r="H1650" s="2" t="s">
        <v>36</v>
      </c>
      <c r="I1650" s="2" t="s">
        <v>4034</v>
      </c>
      <c r="J1650" s="3" t="str">
        <f>HYPERLINK("https://www.boe.es/gazeta/dias/1818/10/03/pdfs/GMD-1818-119.pdf#page=4","Abrir facsímil")</f>
        <v>Abrir facsímil</v>
      </c>
      <c r="K1650" s="3" t="s">
        <v>38</v>
      </c>
    </row>
    <row r="1651" spans="1:11" ht="42" customHeight="1">
      <c r="A1651" s="2" t="s">
        <v>4031</v>
      </c>
      <c r="B1651" s="2" t="s">
        <v>4032</v>
      </c>
      <c r="C1651" s="2" t="s">
        <v>17</v>
      </c>
      <c r="D1651" s="2" t="s">
        <v>18</v>
      </c>
      <c r="E1651" s="5">
        <v>-29670</v>
      </c>
      <c r="F1651" s="3" t="s">
        <v>48</v>
      </c>
      <c r="G1651" s="3" t="s">
        <v>106</v>
      </c>
      <c r="H1651" s="2" t="s">
        <v>36</v>
      </c>
      <c r="I1651" s="2" t="s">
        <v>4035</v>
      </c>
      <c r="J1651" s="3" t="str">
        <f>HYPERLINK("https://www.boe.es/gazeta/dias/1818/10/06/pdfs/GMD-1818-120.pdf#page=5","Abrir facsímil")</f>
        <v>Abrir facsímil</v>
      </c>
      <c r="K1651" s="3" t="s">
        <v>38</v>
      </c>
    </row>
    <row r="1652" spans="1:11" ht="42" customHeight="1">
      <c r="A1652" s="2" t="s">
        <v>4036</v>
      </c>
      <c r="B1652" s="2" t="s">
        <v>4037</v>
      </c>
      <c r="C1652" s="2" t="s">
        <v>26</v>
      </c>
      <c r="D1652" s="2" t="s">
        <v>27</v>
      </c>
      <c r="E1652" s="5">
        <v>-29673</v>
      </c>
      <c r="F1652" s="3" t="s">
        <v>1099</v>
      </c>
      <c r="G1652" s="3" t="s">
        <v>106</v>
      </c>
      <c r="H1652" s="2" t="s">
        <v>21</v>
      </c>
      <c r="I1652" s="2" t="s">
        <v>4038</v>
      </c>
      <c r="J1652" s="3" t="str">
        <f>HYPERLINK("https://www.boe.es/gazeta/dias/1818/10/03/pdfs/GMD-1818-119.pdf#page=5","Abrir facsímil")</f>
        <v>Abrir facsímil</v>
      </c>
      <c r="K1652" s="3" t="s">
        <v>23</v>
      </c>
    </row>
    <row r="1653" spans="1:11" ht="42" customHeight="1">
      <c r="A1653" s="2" t="s">
        <v>4036</v>
      </c>
      <c r="B1653" s="2" t="s">
        <v>4037</v>
      </c>
      <c r="C1653" s="2" t="s">
        <v>26</v>
      </c>
      <c r="D1653" s="2" t="s">
        <v>27</v>
      </c>
      <c r="E1653" s="5">
        <v>-29670</v>
      </c>
      <c r="F1653" s="3" t="s">
        <v>48</v>
      </c>
      <c r="G1653" s="3" t="s">
        <v>106</v>
      </c>
      <c r="H1653" s="2" t="s">
        <v>21</v>
      </c>
      <c r="I1653" s="2" t="s">
        <v>4039</v>
      </c>
      <c r="J1653" s="3" t="str">
        <f>HYPERLINK("https://www.boe.es/gazeta/dias/1818/10/06/pdfs/GMD-1818-120.pdf#page=5","Abrir facsímil")</f>
        <v>Abrir facsímil</v>
      </c>
      <c r="K1653" s="3" t="s">
        <v>23</v>
      </c>
    </row>
    <row r="1654" spans="1:11" ht="42" customHeight="1">
      <c r="A1654" s="2" t="s">
        <v>4040</v>
      </c>
      <c r="B1654" s="2" t="s">
        <v>4040</v>
      </c>
      <c r="C1654" s="2" t="s">
        <v>17</v>
      </c>
      <c r="D1654" s="2" t="s">
        <v>18</v>
      </c>
      <c r="E1654" s="5">
        <v>-29843</v>
      </c>
      <c r="F1654" s="3" t="s">
        <v>182</v>
      </c>
      <c r="G1654" s="3" t="s">
        <v>120</v>
      </c>
      <c r="H1654" s="2" t="s">
        <v>36</v>
      </c>
      <c r="I1654" s="2" t="s">
        <v>4041</v>
      </c>
      <c r="J1654" s="3" t="str">
        <f>HYPERLINK("https://www.boe.es/gazeta/dias/1818/04/16/pdfs/GMD-1818-46.pdf#page=2","Abrir facsímil")</f>
        <v>Abrir facsímil</v>
      </c>
      <c r="K1654" s="3" t="s">
        <v>38</v>
      </c>
    </row>
    <row r="1655" spans="1:11" ht="42" customHeight="1">
      <c r="A1655" s="2" t="s">
        <v>4042</v>
      </c>
      <c r="B1655" s="2" t="s">
        <v>4043</v>
      </c>
      <c r="C1655" s="2" t="s">
        <v>26</v>
      </c>
      <c r="D1655" s="2" t="s">
        <v>27</v>
      </c>
      <c r="E1655" s="5">
        <v>-29738</v>
      </c>
      <c r="F1655" s="3" t="s">
        <v>263</v>
      </c>
      <c r="G1655" s="3" t="s">
        <v>45</v>
      </c>
      <c r="H1655" s="2" t="s">
        <v>36</v>
      </c>
      <c r="I1655" s="2" t="s">
        <v>4044</v>
      </c>
      <c r="J1655" s="3" t="str">
        <f>HYPERLINK("https://www.boe.es/gazeta/dias/1818/07/30/pdfs/GMD-1818-91.pdf#page=8","Abrir facsímil")</f>
        <v>Abrir facsímil</v>
      </c>
      <c r="K1655" s="3" t="s">
        <v>38</v>
      </c>
    </row>
    <row r="1656" spans="1:11" ht="42" customHeight="1">
      <c r="A1656" s="2" t="s">
        <v>4045</v>
      </c>
      <c r="B1656" s="2" t="s">
        <v>4045</v>
      </c>
      <c r="C1656" s="2" t="s">
        <v>26</v>
      </c>
      <c r="D1656" s="2" t="s">
        <v>27</v>
      </c>
      <c r="E1656" s="5">
        <v>-29586</v>
      </c>
      <c r="F1656" s="3" t="s">
        <v>683</v>
      </c>
      <c r="G1656" s="3" t="s">
        <v>45</v>
      </c>
      <c r="H1656" s="2" t="s">
        <v>36</v>
      </c>
      <c r="I1656" s="2" t="s">
        <v>4046</v>
      </c>
      <c r="J1656" s="3" t="str">
        <f>HYPERLINK("https://www.boe.es/gazeta/dias/1818/12/29/pdfs/GMD-1818-158.pdf#page=8","Abrir facsímil")</f>
        <v>Abrir facsímil</v>
      </c>
      <c r="K1656" s="3" t="s">
        <v>38</v>
      </c>
    </row>
    <row r="1657" spans="1:11" ht="42" customHeight="1">
      <c r="A1657" s="2" t="s">
        <v>4047</v>
      </c>
      <c r="B1657" s="2" t="s">
        <v>4048</v>
      </c>
      <c r="C1657" s="2" t="s">
        <v>68</v>
      </c>
      <c r="D1657" s="2" t="s">
        <v>69</v>
      </c>
      <c r="E1657" s="5">
        <v>-29936</v>
      </c>
      <c r="F1657" s="3" t="s">
        <v>398</v>
      </c>
      <c r="G1657" s="3" t="s">
        <v>20</v>
      </c>
      <c r="H1657" s="2" t="s">
        <v>36</v>
      </c>
      <c r="I1657" s="2" t="s">
        <v>4049</v>
      </c>
      <c r="J1657" s="3" t="str">
        <f>HYPERLINK("https://www.boe.es/gazeta/dias/1818/01/13/pdfs/GMD-1818-6.pdf#page=7","Abrir facsímil")</f>
        <v>Abrir facsímil</v>
      </c>
      <c r="K1657" s="3" t="s">
        <v>38</v>
      </c>
    </row>
    <row r="1658" spans="1:11" ht="42" customHeight="1">
      <c r="A1658" s="2" t="s">
        <v>4050</v>
      </c>
      <c r="B1658" s="2" t="s">
        <v>4051</v>
      </c>
      <c r="C1658" s="2" t="s">
        <v>26</v>
      </c>
      <c r="D1658" s="2" t="s">
        <v>27</v>
      </c>
      <c r="E1658" s="5">
        <v>-29656</v>
      </c>
      <c r="F1658" s="3" t="s">
        <v>601</v>
      </c>
      <c r="G1658" s="3" t="s">
        <v>85</v>
      </c>
      <c r="H1658" s="2" t="s">
        <v>36</v>
      </c>
      <c r="I1658" s="2" t="s">
        <v>4052</v>
      </c>
      <c r="J1658" s="3" t="str">
        <f>HYPERLINK("https://www.boe.es/gazeta/dias/1818/10/20/pdfs/GMD-1818-127.pdf#page=3","Abrir facsímil")</f>
        <v>Abrir facsímil</v>
      </c>
      <c r="K1658" s="3" t="s">
        <v>38</v>
      </c>
    </row>
    <row r="1659" spans="1:11" ht="42" customHeight="1">
      <c r="A1659" s="2" t="s">
        <v>4053</v>
      </c>
      <c r="B1659" s="2" t="s">
        <v>4054</v>
      </c>
      <c r="C1659" s="2" t="s">
        <v>26</v>
      </c>
      <c r="D1659" s="2" t="s">
        <v>27</v>
      </c>
      <c r="E1659" s="5">
        <v>-29920</v>
      </c>
      <c r="F1659" s="3" t="s">
        <v>201</v>
      </c>
      <c r="G1659" s="3" t="s">
        <v>4055</v>
      </c>
      <c r="H1659" s="2" t="s">
        <v>36</v>
      </c>
      <c r="I1659" s="2" t="s">
        <v>4056</v>
      </c>
      <c r="J1659" s="3" t="str">
        <f>HYPERLINK("https://www.boe.es/gazeta/dias/1818/01/29/pdfs/GMD-1818-13.pdf#page=14","Abrir facsímil")</f>
        <v>Abrir facsímil</v>
      </c>
      <c r="K1659" s="3" t="s">
        <v>38</v>
      </c>
    </row>
    <row r="1660" spans="1:11" ht="42" customHeight="1">
      <c r="A1660" s="2" t="s">
        <v>4057</v>
      </c>
      <c r="B1660" s="2" t="s">
        <v>4058</v>
      </c>
      <c r="C1660" s="2" t="s">
        <v>68</v>
      </c>
      <c r="D1660" s="2" t="s">
        <v>69</v>
      </c>
      <c r="E1660" s="5">
        <v>-29799</v>
      </c>
      <c r="F1660" s="3" t="s">
        <v>135</v>
      </c>
      <c r="G1660" s="3" t="s">
        <v>45</v>
      </c>
      <c r="H1660" s="2" t="s">
        <v>36</v>
      </c>
      <c r="I1660" s="2" t="s">
        <v>4059</v>
      </c>
      <c r="J1660" s="3" t="str">
        <f>HYPERLINK("https://www.boe.es/gazeta/dias/1818/05/30/pdfs/GMD-1818-65.pdf#page=8","Abrir facsímil")</f>
        <v>Abrir facsímil</v>
      </c>
      <c r="K1660" s="3" t="s">
        <v>38</v>
      </c>
    </row>
    <row r="1661" spans="1:11" ht="42" customHeight="1">
      <c r="A1661" s="2" t="s">
        <v>4060</v>
      </c>
      <c r="B1661" s="2" t="s">
        <v>4061</v>
      </c>
      <c r="C1661" s="2" t="s">
        <v>63</v>
      </c>
      <c r="D1661" s="2" t="s">
        <v>18</v>
      </c>
      <c r="E1661" s="5">
        <v>-29752</v>
      </c>
      <c r="F1661" s="3" t="s">
        <v>165</v>
      </c>
      <c r="G1661" s="3" t="s">
        <v>59</v>
      </c>
      <c r="H1661" s="2" t="s">
        <v>36</v>
      </c>
      <c r="I1661" s="2" t="s">
        <v>4062</v>
      </c>
      <c r="J1661" s="3" t="str">
        <f>HYPERLINK("https://www.boe.es/gazeta/dias/1818/07/16/pdfs/GMD-1818-85.pdf#page=6","Abrir facsímil")</f>
        <v>Abrir facsímil</v>
      </c>
      <c r="K1661" s="3" t="s">
        <v>38</v>
      </c>
    </row>
    <row r="1662" spans="1:11" ht="42" customHeight="1">
      <c r="A1662" s="2" t="s">
        <v>4063</v>
      </c>
      <c r="B1662" s="2" t="s">
        <v>4064</v>
      </c>
      <c r="C1662" s="2" t="s">
        <v>68</v>
      </c>
      <c r="D1662" s="2" t="s">
        <v>69</v>
      </c>
      <c r="E1662" s="5">
        <v>-29694</v>
      </c>
      <c r="F1662" s="3" t="s">
        <v>528</v>
      </c>
      <c r="G1662" s="3" t="s">
        <v>59</v>
      </c>
      <c r="H1662" s="2" t="s">
        <v>36</v>
      </c>
      <c r="I1662" s="2" t="s">
        <v>4065</v>
      </c>
      <c r="J1662" s="3" t="str">
        <f>HYPERLINK("https://www.boe.es/gazeta/dias/1818/09/12/pdfs/GMD-1818-110.pdf#page=6","Abrir facsímil")</f>
        <v>Abrir facsímil</v>
      </c>
      <c r="K1662" s="3" t="s">
        <v>38</v>
      </c>
    </row>
    <row r="1663" spans="1:11" ht="42" customHeight="1">
      <c r="A1663" s="2" t="s">
        <v>4066</v>
      </c>
      <c r="B1663" s="2" t="s">
        <v>4066</v>
      </c>
      <c r="C1663" s="2" t="s">
        <v>215</v>
      </c>
      <c r="D1663" s="2" t="s">
        <v>18</v>
      </c>
      <c r="E1663" s="5">
        <v>-29782</v>
      </c>
      <c r="F1663" s="3" t="s">
        <v>226</v>
      </c>
      <c r="G1663" s="3" t="s">
        <v>120</v>
      </c>
      <c r="H1663" s="2" t="s">
        <v>36</v>
      </c>
      <c r="I1663" s="2" t="s">
        <v>4067</v>
      </c>
      <c r="J1663" s="3" t="str">
        <f>HYPERLINK("https://www.boe.es/gazeta/dias/1818/06/16/pdfs/GMD-1818-72.pdf#page=2","Abrir facsímil")</f>
        <v>Abrir facsímil</v>
      </c>
      <c r="K1663" s="3" t="s">
        <v>38</v>
      </c>
    </row>
    <row r="1664" spans="1:11" ht="42" customHeight="1">
      <c r="A1664" s="2" t="s">
        <v>4068</v>
      </c>
      <c r="B1664" s="2" t="s">
        <v>4069</v>
      </c>
      <c r="C1664" s="2" t="s">
        <v>26</v>
      </c>
      <c r="D1664" s="2" t="s">
        <v>27</v>
      </c>
      <c r="E1664" s="5">
        <v>-29619</v>
      </c>
      <c r="F1664" s="3" t="s">
        <v>64</v>
      </c>
      <c r="G1664" s="3" t="s">
        <v>49</v>
      </c>
      <c r="H1664" s="2" t="s">
        <v>36</v>
      </c>
      <c r="I1664" s="2" t="s">
        <v>4070</v>
      </c>
      <c r="J1664" s="3" t="str">
        <f>HYPERLINK("https://www.boe.es/gazeta/dias/1818/11/26/pdfs/GMD-1818-143.pdf#page=1","Abrir facsímil")</f>
        <v>Abrir facsímil</v>
      </c>
      <c r="K1664" s="3" t="s">
        <v>38</v>
      </c>
    </row>
    <row r="1665" spans="1:11" ht="42" customHeight="1">
      <c r="A1665" s="2" t="s">
        <v>4071</v>
      </c>
      <c r="B1665" s="2" t="s">
        <v>4072</v>
      </c>
      <c r="C1665" s="2" t="s">
        <v>63</v>
      </c>
      <c r="D1665" s="2" t="s">
        <v>18</v>
      </c>
      <c r="E1665" s="5">
        <v>-29654</v>
      </c>
      <c r="F1665" s="3" t="s">
        <v>219</v>
      </c>
      <c r="G1665" s="3" t="s">
        <v>45</v>
      </c>
      <c r="H1665" s="2" t="s">
        <v>36</v>
      </c>
      <c r="I1665" s="2" t="s">
        <v>4073</v>
      </c>
      <c r="J1665" s="3" t="str">
        <f>HYPERLINK("https://www.boe.es/gazeta/dias/1818/10/22/pdfs/GMD-1818-128.pdf#page=8","Abrir facsímil")</f>
        <v>Abrir facsímil</v>
      </c>
      <c r="K1665" s="3" t="s">
        <v>38</v>
      </c>
    </row>
    <row r="1666" spans="1:11" ht="42" customHeight="1">
      <c r="A1666" s="2" t="s">
        <v>4074</v>
      </c>
      <c r="B1666" s="2" t="s">
        <v>4075</v>
      </c>
      <c r="C1666" s="2" t="s">
        <v>17</v>
      </c>
      <c r="D1666" s="2" t="s">
        <v>18</v>
      </c>
      <c r="E1666" s="5">
        <v>-29663</v>
      </c>
      <c r="F1666" s="3" t="s">
        <v>1011</v>
      </c>
      <c r="G1666" s="3" t="s">
        <v>59</v>
      </c>
      <c r="H1666" s="2" t="s">
        <v>36</v>
      </c>
      <c r="I1666" s="2" t="s">
        <v>4076</v>
      </c>
      <c r="J1666" s="3" t="str">
        <f>HYPERLINK("https://www.boe.es/gazeta/dias/1818/10/13/pdfs/GMD-1818-123.pdf#page=6","Abrir facsímil")</f>
        <v>Abrir facsímil</v>
      </c>
      <c r="K1666" s="3" t="s">
        <v>38</v>
      </c>
    </row>
    <row r="1667" spans="1:11" ht="42" customHeight="1">
      <c r="A1667" s="2" t="s">
        <v>4077</v>
      </c>
      <c r="B1667" s="2" t="s">
        <v>4077</v>
      </c>
      <c r="C1667" s="2" t="s">
        <v>26</v>
      </c>
      <c r="D1667" s="2" t="s">
        <v>27</v>
      </c>
      <c r="E1667" s="5">
        <v>-29911</v>
      </c>
      <c r="F1667" s="3" t="s">
        <v>509</v>
      </c>
      <c r="G1667" s="3" t="s">
        <v>85</v>
      </c>
      <c r="H1667" s="2" t="s">
        <v>36</v>
      </c>
      <c r="I1667" s="2" t="s">
        <v>4078</v>
      </c>
      <c r="J1667" s="3" t="str">
        <f>HYPERLINK("https://www.boe.es/gazeta/dias/1818/02/07/pdfs/GMD-1818-17.pdf#page=3","Abrir facsímil")</f>
        <v>Abrir facsímil</v>
      </c>
      <c r="K1667" s="3" t="s">
        <v>38</v>
      </c>
    </row>
    <row r="1668" spans="1:11" ht="42" customHeight="1">
      <c r="A1668" s="2" t="s">
        <v>4079</v>
      </c>
      <c r="B1668" s="2" t="s">
        <v>4080</v>
      </c>
      <c r="C1668" s="2" t="s">
        <v>68</v>
      </c>
      <c r="D1668" s="2" t="s">
        <v>69</v>
      </c>
      <c r="E1668" s="5">
        <v>-29799</v>
      </c>
      <c r="F1668" s="3" t="s">
        <v>135</v>
      </c>
      <c r="G1668" s="3" t="s">
        <v>45</v>
      </c>
      <c r="H1668" s="2" t="s">
        <v>36</v>
      </c>
      <c r="I1668" s="2" t="s">
        <v>4081</v>
      </c>
      <c r="J1668" s="3" t="str">
        <f>HYPERLINK("https://www.boe.es/gazeta/dias/1818/05/30/pdfs/GMD-1818-65.pdf#page=8","Abrir facsímil")</f>
        <v>Abrir facsímil</v>
      </c>
      <c r="K1668" s="3" t="s">
        <v>38</v>
      </c>
    </row>
    <row r="1669" spans="1:11" ht="42" customHeight="1">
      <c r="A1669" s="2" t="s">
        <v>4079</v>
      </c>
      <c r="B1669" s="2" t="s">
        <v>4080</v>
      </c>
      <c r="C1669" s="2" t="s">
        <v>68</v>
      </c>
      <c r="D1669" s="2" t="s">
        <v>69</v>
      </c>
      <c r="E1669" s="5">
        <v>-29726</v>
      </c>
      <c r="F1669" s="3" t="s">
        <v>70</v>
      </c>
      <c r="G1669" s="3" t="s">
        <v>606</v>
      </c>
      <c r="H1669" s="2" t="s">
        <v>36</v>
      </c>
      <c r="I1669" s="2" t="s">
        <v>4082</v>
      </c>
      <c r="J1669" s="3" t="str">
        <f>HYPERLINK("https://www.boe.es/gazeta/dias/1818/08/11/pdfs/GMD-1818-96.pdf#page=15","Abrir facsímil")</f>
        <v>Abrir facsímil</v>
      </c>
      <c r="K1669" s="3" t="s">
        <v>38</v>
      </c>
    </row>
    <row r="1670" spans="1:11" ht="42" customHeight="1">
      <c r="A1670" s="2" t="s">
        <v>4079</v>
      </c>
      <c r="B1670" s="2" t="s">
        <v>4080</v>
      </c>
      <c r="C1670" s="2" t="s">
        <v>68</v>
      </c>
      <c r="D1670" s="2" t="s">
        <v>69</v>
      </c>
      <c r="E1670" s="5">
        <v>-29668</v>
      </c>
      <c r="F1670" s="3" t="s">
        <v>2219</v>
      </c>
      <c r="G1670" s="3" t="s">
        <v>45</v>
      </c>
      <c r="H1670" s="2" t="s">
        <v>36</v>
      </c>
      <c r="I1670" s="2" t="s">
        <v>4083</v>
      </c>
      <c r="J1670" s="3" t="str">
        <f>HYPERLINK("https://www.boe.es/gazeta/dias/1818/10/08/pdfs/GMD-1818-121.pdf#page=8","Abrir facsímil")</f>
        <v>Abrir facsímil</v>
      </c>
      <c r="K1670" s="3" t="s">
        <v>38</v>
      </c>
    </row>
    <row r="1671" spans="1:11" ht="42" customHeight="1">
      <c r="A1671" s="2" t="s">
        <v>4079</v>
      </c>
      <c r="B1671" s="2" t="s">
        <v>4080</v>
      </c>
      <c r="C1671" s="2" t="s">
        <v>68</v>
      </c>
      <c r="D1671" s="2" t="s">
        <v>69</v>
      </c>
      <c r="E1671" s="5">
        <v>-29638</v>
      </c>
      <c r="F1671" s="3" t="s">
        <v>307</v>
      </c>
      <c r="G1671" s="3" t="s">
        <v>45</v>
      </c>
      <c r="H1671" s="2" t="s">
        <v>36</v>
      </c>
      <c r="I1671" s="2" t="s">
        <v>4084</v>
      </c>
      <c r="J1671" s="3" t="str">
        <f>HYPERLINK("https://www.boe.es/gazeta/dias/1818/11/07/pdfs/GMD-1818-135.pdf#page=8","Abrir facsímil")</f>
        <v>Abrir facsímil</v>
      </c>
      <c r="K1671" s="3" t="s">
        <v>38</v>
      </c>
    </row>
    <row r="1672" spans="1:11" ht="42" customHeight="1">
      <c r="A1672" s="2" t="s">
        <v>4085</v>
      </c>
      <c r="B1672" s="2" t="s">
        <v>4086</v>
      </c>
      <c r="C1672" s="2" t="s">
        <v>68</v>
      </c>
      <c r="D1672" s="2" t="s">
        <v>69</v>
      </c>
      <c r="E1672" s="5">
        <v>-29649</v>
      </c>
      <c r="F1672" s="3" t="s">
        <v>585</v>
      </c>
      <c r="G1672" s="3" t="s">
        <v>45</v>
      </c>
      <c r="H1672" s="2" t="s">
        <v>36</v>
      </c>
      <c r="I1672" s="2" t="s">
        <v>4087</v>
      </c>
      <c r="J1672" s="3" t="str">
        <f>HYPERLINK("https://www.boe.es/gazeta/dias/1818/10/27/pdfs/GMD-1818-130.pdf#page=8","Abrir facsímil")</f>
        <v>Abrir facsímil</v>
      </c>
      <c r="K1672" s="3" t="s">
        <v>38</v>
      </c>
    </row>
    <row r="1673" spans="1:11" ht="42" customHeight="1">
      <c r="A1673" s="2" t="s">
        <v>4088</v>
      </c>
      <c r="B1673" s="2" t="s">
        <v>4088</v>
      </c>
      <c r="C1673" s="2" t="s">
        <v>33</v>
      </c>
      <c r="D1673" s="2" t="s">
        <v>18</v>
      </c>
      <c r="E1673" s="5">
        <v>-29866</v>
      </c>
      <c r="F1673" s="3" t="s">
        <v>828</v>
      </c>
      <c r="G1673" s="3" t="s">
        <v>45</v>
      </c>
      <c r="H1673" s="2" t="s">
        <v>36</v>
      </c>
      <c r="I1673" s="2" t="s">
        <v>4089</v>
      </c>
      <c r="J1673" s="3" t="str">
        <f>HYPERLINK("https://www.boe.es/gazeta/dias/1818/03/24/pdfs/GMD-1818-36.pdf#page=8","Abrir facsímil")</f>
        <v>Abrir facsímil</v>
      </c>
      <c r="K1673" s="3" t="s">
        <v>38</v>
      </c>
    </row>
    <row r="1674" spans="1:11" ht="42" customHeight="1">
      <c r="A1674" s="2" t="s">
        <v>4090</v>
      </c>
      <c r="B1674" s="2" t="s">
        <v>4091</v>
      </c>
      <c r="C1674" s="2" t="s">
        <v>68</v>
      </c>
      <c r="D1674" s="2" t="s">
        <v>69</v>
      </c>
      <c r="E1674" s="5">
        <v>-29645</v>
      </c>
      <c r="F1674" s="3" t="s">
        <v>577</v>
      </c>
      <c r="G1674" s="3" t="s">
        <v>59</v>
      </c>
      <c r="H1674" s="2" t="s">
        <v>36</v>
      </c>
      <c r="I1674" s="2" t="s">
        <v>4092</v>
      </c>
      <c r="J1674" s="3" t="str">
        <f>HYPERLINK("https://www.boe.es/gazeta/dias/1818/10/31/pdfs/GMD-1818-132.pdf#page=6","Abrir facsímil")</f>
        <v>Abrir facsímil</v>
      </c>
      <c r="K1674" s="3" t="s">
        <v>38</v>
      </c>
    </row>
    <row r="1675" spans="1:11" ht="42" customHeight="1">
      <c r="A1675" s="2" t="s">
        <v>4093</v>
      </c>
      <c r="B1675" s="2" t="s">
        <v>4094</v>
      </c>
      <c r="C1675" s="2" t="s">
        <v>26</v>
      </c>
      <c r="D1675" s="2" t="s">
        <v>27</v>
      </c>
      <c r="E1675" s="5">
        <v>-29719</v>
      </c>
      <c r="F1675" s="3" t="s">
        <v>243</v>
      </c>
      <c r="G1675" s="3" t="s">
        <v>111</v>
      </c>
      <c r="H1675" s="2" t="s">
        <v>36</v>
      </c>
      <c r="I1675" s="2" t="s">
        <v>4095</v>
      </c>
      <c r="J1675" s="3" t="str">
        <f>HYPERLINK("https://www.boe.es/gazeta/dias/1818/08/18/pdfs/GMD-1818-99.pdf#page=11","Abrir facsímil")</f>
        <v>Abrir facsímil</v>
      </c>
      <c r="K1675" s="3" t="s">
        <v>38</v>
      </c>
    </row>
    <row r="1676" spans="1:11" ht="42" customHeight="1">
      <c r="A1676" s="2" t="s">
        <v>4096</v>
      </c>
      <c r="B1676" s="2" t="s">
        <v>4097</v>
      </c>
      <c r="C1676" s="2" t="s">
        <v>63</v>
      </c>
      <c r="D1676" s="2" t="s">
        <v>18</v>
      </c>
      <c r="E1676" s="5">
        <v>-29813</v>
      </c>
      <c r="F1676" s="3" t="s">
        <v>839</v>
      </c>
      <c r="G1676" s="3" t="s">
        <v>45</v>
      </c>
      <c r="H1676" s="2" t="s">
        <v>36</v>
      </c>
      <c r="I1676" s="2" t="s">
        <v>4098</v>
      </c>
      <c r="J1676" s="3" t="str">
        <f>HYPERLINK("https://www.boe.es/gazeta/dias/1818/05/16/pdfs/GMD-1818-59.pdf#page=8","Abrir facsímil")</f>
        <v>Abrir facsímil</v>
      </c>
      <c r="K1676" s="3" t="s">
        <v>38</v>
      </c>
    </row>
    <row r="1677" spans="1:11" ht="42" customHeight="1">
      <c r="A1677" s="2" t="s">
        <v>4099</v>
      </c>
      <c r="B1677" s="2" t="s">
        <v>4100</v>
      </c>
      <c r="C1677" s="2" t="s">
        <v>68</v>
      </c>
      <c r="D1677" s="2" t="s">
        <v>69</v>
      </c>
      <c r="E1677" s="5">
        <v>-29638</v>
      </c>
      <c r="F1677" s="3" t="s">
        <v>307</v>
      </c>
      <c r="G1677" s="3" t="s">
        <v>45</v>
      </c>
      <c r="H1677" s="2" t="s">
        <v>36</v>
      </c>
      <c r="I1677" s="2" t="s">
        <v>4101</v>
      </c>
      <c r="J1677" s="3" t="str">
        <f>HYPERLINK("https://www.boe.es/gazeta/dias/1818/11/07/pdfs/GMD-1818-135.pdf#page=8","Abrir facsímil")</f>
        <v>Abrir facsímil</v>
      </c>
      <c r="K1677" s="3" t="s">
        <v>38</v>
      </c>
    </row>
    <row r="1678" spans="1:11" ht="42" customHeight="1">
      <c r="A1678" s="2" t="s">
        <v>4102</v>
      </c>
      <c r="B1678" s="2" t="s">
        <v>4103</v>
      </c>
      <c r="C1678" s="2" t="s">
        <v>68</v>
      </c>
      <c r="D1678" s="2" t="s">
        <v>69</v>
      </c>
      <c r="E1678" s="5">
        <v>-29939</v>
      </c>
      <c r="F1678" s="3" t="s">
        <v>110</v>
      </c>
      <c r="G1678" s="3" t="s">
        <v>116</v>
      </c>
      <c r="H1678" s="2" t="s">
        <v>36</v>
      </c>
      <c r="I1678" s="2" t="s">
        <v>4104</v>
      </c>
      <c r="J1678" s="3" t="str">
        <f>HYPERLINK("https://www.boe.es/gazeta/dias/1818/01/10/pdfs/GMD-1818-5.pdf#page=12","Abrir facsímil")</f>
        <v>Abrir facsímil</v>
      </c>
      <c r="K1678" s="3" t="s">
        <v>38</v>
      </c>
    </row>
    <row r="1679" spans="1:11" ht="42" customHeight="1">
      <c r="A1679" s="2" t="s">
        <v>4105</v>
      </c>
      <c r="B1679" s="2" t="s">
        <v>4106</v>
      </c>
      <c r="C1679" s="2" t="s">
        <v>68</v>
      </c>
      <c r="D1679" s="2" t="s">
        <v>69</v>
      </c>
      <c r="E1679" s="5">
        <v>-29941</v>
      </c>
      <c r="F1679" s="3" t="s">
        <v>2259</v>
      </c>
      <c r="G1679" s="3" t="s">
        <v>2871</v>
      </c>
      <c r="H1679" s="2" t="s">
        <v>36</v>
      </c>
      <c r="I1679" s="2" t="s">
        <v>4107</v>
      </c>
      <c r="J1679" s="3" t="str">
        <f>HYPERLINK("https://www.boe.es/gazeta/dias/1818/01/08/pdfs/GMD-1818-4.pdf#page=8","Abrir facsímil")</f>
        <v>Abrir facsímil</v>
      </c>
      <c r="K1679" s="3" t="s">
        <v>38</v>
      </c>
    </row>
    <row r="1680" spans="1:11" ht="42" customHeight="1">
      <c r="A1680" s="2" t="s">
        <v>4108</v>
      </c>
      <c r="B1680" s="2" t="s">
        <v>4109</v>
      </c>
      <c r="C1680" s="2" t="s">
        <v>57</v>
      </c>
      <c r="D1680" s="2" t="s">
        <v>18</v>
      </c>
      <c r="E1680" s="5">
        <v>-29850</v>
      </c>
      <c r="F1680" s="3" t="s">
        <v>1051</v>
      </c>
      <c r="G1680" s="3" t="s">
        <v>106</v>
      </c>
      <c r="H1680" s="2" t="s">
        <v>36</v>
      </c>
      <c r="I1680" s="2" t="s">
        <v>4110</v>
      </c>
      <c r="J1680" s="3" t="str">
        <f>HYPERLINK("https://www.boe.es/gazeta/dias/1818/04/09/pdfs/GMD-1818-43.pdf#page=5","Abrir facsímil")</f>
        <v>Abrir facsímil</v>
      </c>
      <c r="K1680" s="3" t="s">
        <v>38</v>
      </c>
    </row>
    <row r="1681" spans="1:11" ht="42" customHeight="1">
      <c r="A1681" s="2" t="s">
        <v>4111</v>
      </c>
      <c r="B1681" s="2" t="s">
        <v>4112</v>
      </c>
      <c r="C1681" s="2" t="s">
        <v>26</v>
      </c>
      <c r="D1681" s="2" t="s">
        <v>27</v>
      </c>
      <c r="E1681" s="5">
        <v>-29754</v>
      </c>
      <c r="F1681" s="3" t="s">
        <v>466</v>
      </c>
      <c r="G1681" s="3" t="s">
        <v>29</v>
      </c>
      <c r="H1681" s="2" t="s">
        <v>36</v>
      </c>
      <c r="I1681" s="2" t="s">
        <v>4113</v>
      </c>
      <c r="J1681" s="3" t="str">
        <f>HYPERLINK("https://www.boe.es/gazeta/dias/1818/07/14/pdfs/GMD-1818-84.pdf#page=4","Abrir facsímil")</f>
        <v>Abrir facsímil</v>
      </c>
      <c r="K1681" s="3" t="s">
        <v>38</v>
      </c>
    </row>
    <row r="1682" spans="1:11" ht="42" customHeight="1">
      <c r="A1682" s="2" t="s">
        <v>4114</v>
      </c>
      <c r="B1682" s="2" t="s">
        <v>4115</v>
      </c>
      <c r="C1682" s="2" t="s">
        <v>57</v>
      </c>
      <c r="D1682" s="2" t="s">
        <v>18</v>
      </c>
      <c r="E1682" s="5">
        <v>-29745</v>
      </c>
      <c r="F1682" s="3" t="s">
        <v>409</v>
      </c>
      <c r="G1682" s="3" t="s">
        <v>45</v>
      </c>
      <c r="H1682" s="2" t="s">
        <v>36</v>
      </c>
      <c r="I1682" s="2" t="s">
        <v>4116</v>
      </c>
      <c r="J1682" s="3" t="str">
        <f>HYPERLINK("https://www.boe.es/gazeta/dias/1818/07/23/pdfs/GMD-1818-88.pdf#page=8","Abrir facsímil")</f>
        <v>Abrir facsímil</v>
      </c>
      <c r="K1682" s="3" t="s">
        <v>38</v>
      </c>
    </row>
    <row r="1683" spans="1:11" ht="42" customHeight="1">
      <c r="A1683" s="2" t="s">
        <v>4117</v>
      </c>
      <c r="B1683" s="2" t="s">
        <v>4118</v>
      </c>
      <c r="C1683" s="2" t="s">
        <v>26</v>
      </c>
      <c r="D1683" s="2" t="s">
        <v>27</v>
      </c>
      <c r="E1683" s="5">
        <v>-29887</v>
      </c>
      <c r="F1683" s="3" t="s">
        <v>613</v>
      </c>
      <c r="G1683" s="3" t="s">
        <v>59</v>
      </c>
      <c r="H1683" s="2" t="s">
        <v>36</v>
      </c>
      <c r="I1683" s="2" t="s">
        <v>4119</v>
      </c>
      <c r="J1683" s="3" t="str">
        <f>HYPERLINK("https://www.boe.es/gazeta/dias/1818/03/03/pdfs/GMD-1818-27.pdf#page=6","Abrir facsímil")</f>
        <v>Abrir facsímil</v>
      </c>
      <c r="K1683" s="3" t="s">
        <v>38</v>
      </c>
    </row>
    <row r="1684" spans="1:11" ht="42" customHeight="1">
      <c r="A1684" s="2" t="s">
        <v>4120</v>
      </c>
      <c r="B1684" s="2" t="s">
        <v>4121</v>
      </c>
      <c r="C1684" s="2" t="s">
        <v>26</v>
      </c>
      <c r="D1684" s="2" t="s">
        <v>27</v>
      </c>
      <c r="E1684" s="5">
        <v>-29918</v>
      </c>
      <c r="F1684" s="3" t="s">
        <v>89</v>
      </c>
      <c r="G1684" s="3" t="s">
        <v>418</v>
      </c>
      <c r="H1684" s="2" t="s">
        <v>36</v>
      </c>
      <c r="I1684" s="2" t="s">
        <v>4122</v>
      </c>
      <c r="J1684" s="3" t="str">
        <f>HYPERLINK("https://www.boe.es/gazeta/dias/1818/01/31/pdfs/GMD-1818-14.pdf#page=9","Abrir facsímil")</f>
        <v>Abrir facsímil</v>
      </c>
      <c r="K1684" s="3" t="s">
        <v>38</v>
      </c>
    </row>
    <row r="1685" spans="1:11" ht="42" customHeight="1">
      <c r="A1685" s="2" t="s">
        <v>4120</v>
      </c>
      <c r="B1685" s="2" t="s">
        <v>4121</v>
      </c>
      <c r="C1685" s="2" t="s">
        <v>68</v>
      </c>
      <c r="D1685" s="2" t="s">
        <v>69</v>
      </c>
      <c r="E1685" s="5">
        <v>-29908</v>
      </c>
      <c r="F1685" s="3" t="s">
        <v>695</v>
      </c>
      <c r="G1685" s="3" t="s">
        <v>106</v>
      </c>
      <c r="H1685" s="2" t="s">
        <v>36</v>
      </c>
      <c r="I1685" s="2" t="s">
        <v>4123</v>
      </c>
      <c r="J1685" s="3" t="str">
        <f>HYPERLINK("https://www.boe.es/gazeta/dias/1818/02/10/pdfs/GMD-1818-18.pdf#page=5","Abrir facsímil")</f>
        <v>Abrir facsímil</v>
      </c>
      <c r="K1685" s="3" t="s">
        <v>38</v>
      </c>
    </row>
    <row r="1686" spans="1:11" ht="42" customHeight="1">
      <c r="A1686" s="2" t="s">
        <v>4120</v>
      </c>
      <c r="B1686" s="2" t="s">
        <v>4121</v>
      </c>
      <c r="C1686" s="2" t="s">
        <v>26</v>
      </c>
      <c r="D1686" s="2" t="s">
        <v>27</v>
      </c>
      <c r="E1686" s="5">
        <v>-29852</v>
      </c>
      <c r="F1686" s="3" t="s">
        <v>327</v>
      </c>
      <c r="G1686" s="3" t="s">
        <v>59</v>
      </c>
      <c r="H1686" s="2" t="s">
        <v>36</v>
      </c>
      <c r="I1686" s="2" t="s">
        <v>4124</v>
      </c>
      <c r="J1686" s="3" t="str">
        <f>HYPERLINK("https://www.boe.es/gazeta/dias/1818/04/07/pdfs/GMD-1818-42.pdf#page=6","Abrir facsímil")</f>
        <v>Abrir facsímil</v>
      </c>
      <c r="K1686" s="3" t="s">
        <v>38</v>
      </c>
    </row>
    <row r="1687" spans="1:11" ht="42" customHeight="1">
      <c r="A1687" s="2" t="s">
        <v>4120</v>
      </c>
      <c r="B1687" s="2" t="s">
        <v>4121</v>
      </c>
      <c r="C1687" s="2" t="s">
        <v>26</v>
      </c>
      <c r="D1687" s="2" t="s">
        <v>27</v>
      </c>
      <c r="E1687" s="5">
        <v>-29829</v>
      </c>
      <c r="F1687" s="3" t="s">
        <v>44</v>
      </c>
      <c r="G1687" s="3" t="s">
        <v>2271</v>
      </c>
      <c r="H1687" s="2" t="s">
        <v>36</v>
      </c>
      <c r="I1687" s="2" t="s">
        <v>4125</v>
      </c>
      <c r="J1687" s="3" t="str">
        <f>HYPERLINK("https://www.boe.es/gazeta/dias/1818/04/30/pdfs/GMD-1818-52.pdf#page=6","Abrir facsímil")</f>
        <v>Abrir facsímil</v>
      </c>
      <c r="K1687" s="3" t="s">
        <v>38</v>
      </c>
    </row>
    <row r="1688" spans="1:11" ht="42" customHeight="1">
      <c r="A1688" s="2" t="s">
        <v>4120</v>
      </c>
      <c r="B1688" s="2" t="s">
        <v>4121</v>
      </c>
      <c r="C1688" s="2" t="s">
        <v>68</v>
      </c>
      <c r="D1688" s="2" t="s">
        <v>69</v>
      </c>
      <c r="E1688" s="5">
        <v>-29792</v>
      </c>
      <c r="F1688" s="3" t="s">
        <v>948</v>
      </c>
      <c r="G1688" s="3" t="s">
        <v>20</v>
      </c>
      <c r="H1688" s="2" t="s">
        <v>36</v>
      </c>
      <c r="I1688" s="2" t="s">
        <v>4126</v>
      </c>
      <c r="J1688" s="3" t="str">
        <f>HYPERLINK("https://www.boe.es/gazeta/dias/1818/06/06/pdfs/GMD-1818-68.pdf#page=7","Abrir facsímil")</f>
        <v>Abrir facsímil</v>
      </c>
      <c r="K1688" s="3" t="s">
        <v>38</v>
      </c>
    </row>
    <row r="1689" spans="1:11" ht="42" customHeight="1">
      <c r="A1689" s="2" t="s">
        <v>4120</v>
      </c>
      <c r="B1689" s="2" t="s">
        <v>4121</v>
      </c>
      <c r="C1689" s="2" t="s">
        <v>68</v>
      </c>
      <c r="D1689" s="2" t="s">
        <v>69</v>
      </c>
      <c r="E1689" s="5">
        <v>-29689</v>
      </c>
      <c r="F1689" s="3" t="s">
        <v>303</v>
      </c>
      <c r="G1689" s="3" t="s">
        <v>20</v>
      </c>
      <c r="H1689" s="2" t="s">
        <v>36</v>
      </c>
      <c r="I1689" s="2" t="s">
        <v>4127</v>
      </c>
      <c r="J1689" s="3" t="str">
        <f>HYPERLINK("https://www.boe.es/gazeta/dias/1818/09/17/pdfs/GMD-1818-112.pdf#page=7","Abrir facsímil")</f>
        <v>Abrir facsímil</v>
      </c>
      <c r="K1689" s="3" t="s">
        <v>38</v>
      </c>
    </row>
    <row r="1690" spans="1:11" ht="42" customHeight="1">
      <c r="A1690" s="2" t="s">
        <v>4128</v>
      </c>
      <c r="B1690" s="2" t="s">
        <v>4129</v>
      </c>
      <c r="C1690" s="2" t="s">
        <v>17</v>
      </c>
      <c r="D1690" s="2" t="s">
        <v>18</v>
      </c>
      <c r="E1690" s="5">
        <v>-29850</v>
      </c>
      <c r="F1690" s="3" t="s">
        <v>1051</v>
      </c>
      <c r="G1690" s="3" t="s">
        <v>45</v>
      </c>
      <c r="H1690" s="2" t="s">
        <v>36</v>
      </c>
      <c r="I1690" s="2" t="s">
        <v>4130</v>
      </c>
      <c r="J1690" s="3" t="str">
        <f>HYPERLINK("https://www.boe.es/gazeta/dias/1818/04/09/pdfs/GMD-1818-43.pdf#page=8","Abrir facsímil")</f>
        <v>Abrir facsímil</v>
      </c>
      <c r="K1690" s="3" t="s">
        <v>38</v>
      </c>
    </row>
    <row r="1691" spans="1:11" ht="42" customHeight="1">
      <c r="A1691" s="2" t="s">
        <v>4131</v>
      </c>
      <c r="B1691" s="2" t="s">
        <v>4132</v>
      </c>
      <c r="C1691" s="2" t="s">
        <v>26</v>
      </c>
      <c r="D1691" s="2" t="s">
        <v>27</v>
      </c>
      <c r="E1691" s="5">
        <v>-29703</v>
      </c>
      <c r="F1691" s="3" t="s">
        <v>294</v>
      </c>
      <c r="G1691" s="3" t="s">
        <v>295</v>
      </c>
      <c r="H1691" s="2" t="s">
        <v>36</v>
      </c>
      <c r="I1691" s="2" t="s">
        <v>4133</v>
      </c>
      <c r="J1691" s="3" t="str">
        <f>HYPERLINK("https://www.boe.es/gazeta/dias/1818/09/03/pdfs/GMD-1818-106.pdf#page=5","Abrir facsímil")</f>
        <v>Abrir facsímil</v>
      </c>
      <c r="K1691" s="3" t="s">
        <v>38</v>
      </c>
    </row>
    <row r="1692" spans="1:11" ht="42" customHeight="1">
      <c r="A1692" s="2" t="s">
        <v>4134</v>
      </c>
      <c r="B1692" s="2" t="s">
        <v>4135</v>
      </c>
      <c r="C1692" s="2" t="s">
        <v>26</v>
      </c>
      <c r="D1692" s="2" t="s">
        <v>27</v>
      </c>
      <c r="E1692" s="5">
        <v>-29771</v>
      </c>
      <c r="F1692" s="3" t="s">
        <v>1260</v>
      </c>
      <c r="G1692" s="3" t="s">
        <v>4136</v>
      </c>
      <c r="H1692" s="2" t="s">
        <v>36</v>
      </c>
      <c r="I1692" s="2" t="s">
        <v>4137</v>
      </c>
      <c r="J1692" s="3" t="str">
        <f>HYPERLINK("https://www.boe.es/gazeta/dias/1818/06/27/pdfs/GMD-1818-77.pdf#page=4","Abrir facsímil")</f>
        <v>Abrir facsímil</v>
      </c>
      <c r="K1692" s="3" t="s">
        <v>38</v>
      </c>
    </row>
    <row r="1693" spans="1:11" ht="42" customHeight="1">
      <c r="A1693" s="2" t="s">
        <v>4134</v>
      </c>
      <c r="B1693" s="2" t="s">
        <v>4135</v>
      </c>
      <c r="C1693" s="2" t="s">
        <v>57</v>
      </c>
      <c r="D1693" s="2" t="s">
        <v>18</v>
      </c>
      <c r="E1693" s="5">
        <v>-29771</v>
      </c>
      <c r="F1693" s="3" t="s">
        <v>1260</v>
      </c>
      <c r="G1693" s="3" t="s">
        <v>106</v>
      </c>
      <c r="H1693" s="2" t="s">
        <v>36</v>
      </c>
      <c r="I1693" s="2" t="s">
        <v>4138</v>
      </c>
      <c r="J1693" s="3" t="str">
        <f>HYPERLINK("https://www.boe.es/gazeta/dias/1818/06/27/pdfs/GMD-1818-77.pdf#page=5","Abrir facsímil")</f>
        <v>Abrir facsímil</v>
      </c>
      <c r="K1693" s="3" t="s">
        <v>38</v>
      </c>
    </row>
    <row r="1694" spans="1:11" ht="42" customHeight="1">
      <c r="A1694" s="2" t="s">
        <v>4139</v>
      </c>
      <c r="B1694" s="2" t="s">
        <v>4140</v>
      </c>
      <c r="C1694" s="2" t="s">
        <v>26</v>
      </c>
      <c r="D1694" s="2" t="s">
        <v>27</v>
      </c>
      <c r="E1694" s="5">
        <v>-29920</v>
      </c>
      <c r="F1694" s="3" t="s">
        <v>201</v>
      </c>
      <c r="G1694" s="3" t="s">
        <v>111</v>
      </c>
      <c r="H1694" s="2" t="s">
        <v>36</v>
      </c>
      <c r="I1694" s="2" t="s">
        <v>4141</v>
      </c>
      <c r="J1694" s="3" t="str">
        <f>HYPERLINK("https://www.boe.es/gazeta/dias/1818/01/29/pdfs/GMD-1818-13.pdf#page=11","Abrir facsímil")</f>
        <v>Abrir facsímil</v>
      </c>
      <c r="K1694" s="3" t="s">
        <v>38</v>
      </c>
    </row>
    <row r="1695" spans="1:11" ht="42" customHeight="1">
      <c r="A1695" s="2" t="s">
        <v>4142</v>
      </c>
      <c r="B1695" s="2" t="s">
        <v>4143</v>
      </c>
      <c r="C1695" s="2" t="s">
        <v>26</v>
      </c>
      <c r="D1695" s="2" t="s">
        <v>27</v>
      </c>
      <c r="E1695" s="5">
        <v>-29871</v>
      </c>
      <c r="F1695" s="3" t="s">
        <v>641</v>
      </c>
      <c r="G1695" s="3" t="s">
        <v>3113</v>
      </c>
      <c r="H1695" s="2" t="s">
        <v>36</v>
      </c>
      <c r="I1695" s="2" t="s">
        <v>4144</v>
      </c>
      <c r="J1695" s="3" t="str">
        <f>HYPERLINK("https://www.boe.es/gazeta/dias/1818/03/19/pdfs/GMD-1818-34.pdf#page=4","Abrir facsímil")</f>
        <v>Abrir facsímil</v>
      </c>
      <c r="K1695" s="3" t="s">
        <v>38</v>
      </c>
    </row>
    <row r="1696" spans="1:11" ht="42" customHeight="1">
      <c r="A1696" s="2" t="s">
        <v>4142</v>
      </c>
      <c r="B1696" s="2" t="s">
        <v>4143</v>
      </c>
      <c r="C1696" s="2" t="s">
        <v>17</v>
      </c>
      <c r="D1696" s="2" t="s">
        <v>18</v>
      </c>
      <c r="E1696" s="5">
        <v>-29698</v>
      </c>
      <c r="F1696" s="3" t="s">
        <v>148</v>
      </c>
      <c r="G1696" s="3" t="s">
        <v>29</v>
      </c>
      <c r="H1696" s="2" t="s">
        <v>36</v>
      </c>
      <c r="I1696" s="2" t="s">
        <v>4145</v>
      </c>
      <c r="J1696" s="3" t="str">
        <f>HYPERLINK("https://www.boe.es/gazeta/dias/1818/09/08/pdfs/GMD-1818-108.pdf#page=4","Abrir facsímil")</f>
        <v>Abrir facsímil</v>
      </c>
      <c r="K1696" s="3" t="s">
        <v>38</v>
      </c>
    </row>
    <row r="1697" spans="1:11" ht="42" customHeight="1">
      <c r="A1697" s="2" t="s">
        <v>4142</v>
      </c>
      <c r="B1697" s="2" t="s">
        <v>4143</v>
      </c>
      <c r="C1697" s="2" t="s">
        <v>26</v>
      </c>
      <c r="D1697" s="2" t="s">
        <v>27</v>
      </c>
      <c r="E1697" s="5">
        <v>-29603</v>
      </c>
      <c r="F1697" s="3" t="s">
        <v>647</v>
      </c>
      <c r="G1697" s="3" t="s">
        <v>2387</v>
      </c>
      <c r="H1697" s="2" t="s">
        <v>36</v>
      </c>
      <c r="I1697" s="2" t="s">
        <v>4146</v>
      </c>
      <c r="J1697" s="3" t="str">
        <f>HYPERLINK("https://www.boe.es/gazeta/dias/1818/12/12/pdfs/GMD-1818-150.pdf#page=7","Abrir facsímil")</f>
        <v>Abrir facsímil</v>
      </c>
      <c r="K1697" s="3" t="s">
        <v>38</v>
      </c>
    </row>
    <row r="1698" spans="1:11" ht="42" customHeight="1">
      <c r="A1698" s="2" t="s">
        <v>4147</v>
      </c>
      <c r="B1698" s="2" t="s">
        <v>4148</v>
      </c>
      <c r="C1698" s="2" t="s">
        <v>17</v>
      </c>
      <c r="D1698" s="2" t="s">
        <v>18</v>
      </c>
      <c r="E1698" s="5">
        <v>-29880</v>
      </c>
      <c r="F1698" s="3" t="s">
        <v>359</v>
      </c>
      <c r="G1698" s="3" t="s">
        <v>29</v>
      </c>
      <c r="H1698" s="2" t="s">
        <v>36</v>
      </c>
      <c r="I1698" s="2" t="s">
        <v>4149</v>
      </c>
      <c r="J1698" s="3" t="str">
        <f>HYPERLINK("https://www.boe.es/gazeta/dias/1818/03/10/pdfs/GMD-1818-30.pdf#page=4","Abrir facsímil")</f>
        <v>Abrir facsímil</v>
      </c>
      <c r="K1698" s="3" t="s">
        <v>38</v>
      </c>
    </row>
    <row r="1699" spans="1:11" ht="42" customHeight="1">
      <c r="A1699" s="2" t="s">
        <v>4150</v>
      </c>
      <c r="B1699" s="2" t="s">
        <v>4151</v>
      </c>
      <c r="C1699" s="2" t="s">
        <v>26</v>
      </c>
      <c r="D1699" s="2" t="s">
        <v>27</v>
      </c>
      <c r="E1699" s="5">
        <v>-29684</v>
      </c>
      <c r="F1699" s="3" t="s">
        <v>311</v>
      </c>
      <c r="G1699" s="3" t="s">
        <v>29</v>
      </c>
      <c r="H1699" s="2" t="s">
        <v>36</v>
      </c>
      <c r="I1699" s="2" t="s">
        <v>4152</v>
      </c>
      <c r="J1699" s="3" t="str">
        <f>HYPERLINK("https://www.boe.es/gazeta/dias/1818/09/22/pdfs/GMD-1818-114.pdf#page=4","Abrir facsímil")</f>
        <v>Abrir facsímil</v>
      </c>
      <c r="K1699" s="3" t="s">
        <v>38</v>
      </c>
    </row>
    <row r="1700" spans="1:11" ht="42" customHeight="1">
      <c r="A1700" s="2" t="s">
        <v>4153</v>
      </c>
      <c r="B1700" s="2" t="s">
        <v>4154</v>
      </c>
      <c r="C1700" s="2" t="s">
        <v>68</v>
      </c>
      <c r="D1700" s="2" t="s">
        <v>69</v>
      </c>
      <c r="E1700" s="5">
        <v>-29656</v>
      </c>
      <c r="F1700" s="3" t="s">
        <v>601</v>
      </c>
      <c r="G1700" s="3" t="s">
        <v>20</v>
      </c>
      <c r="H1700" s="2" t="s">
        <v>36</v>
      </c>
      <c r="I1700" s="2" t="s">
        <v>4155</v>
      </c>
      <c r="J1700" s="3" t="str">
        <f>HYPERLINK("https://www.boe.es/gazeta/dias/1818/10/20/pdfs/GMD-1818-127.pdf#page=7","Abrir facsímil")</f>
        <v>Abrir facsímil</v>
      </c>
      <c r="K1700" s="3" t="s">
        <v>38</v>
      </c>
    </row>
    <row r="1701" spans="1:11" ht="42" customHeight="1">
      <c r="A1701" s="2" t="s">
        <v>4156</v>
      </c>
      <c r="B1701" s="2" t="s">
        <v>4157</v>
      </c>
      <c r="C1701" s="2" t="s">
        <v>26</v>
      </c>
      <c r="D1701" s="2" t="s">
        <v>27</v>
      </c>
      <c r="E1701" s="5">
        <v>-29752</v>
      </c>
      <c r="F1701" s="3" t="s">
        <v>165</v>
      </c>
      <c r="G1701" s="3" t="s">
        <v>59</v>
      </c>
      <c r="H1701" s="2" t="s">
        <v>36</v>
      </c>
      <c r="I1701" s="2" t="s">
        <v>4158</v>
      </c>
      <c r="J1701" s="3" t="str">
        <f>HYPERLINK("https://www.boe.es/gazeta/dias/1818/07/16/pdfs/GMD-1818-85.pdf#page=6","Abrir facsímil")</f>
        <v>Abrir facsímil</v>
      </c>
      <c r="K1701" s="3" t="s">
        <v>38</v>
      </c>
    </row>
    <row r="1702" spans="1:11" ht="42" customHeight="1">
      <c r="A1702" s="2" t="s">
        <v>4159</v>
      </c>
      <c r="B1702" s="2" t="s">
        <v>4160</v>
      </c>
      <c r="C1702" s="2" t="s">
        <v>17</v>
      </c>
      <c r="D1702" s="2" t="s">
        <v>18</v>
      </c>
      <c r="E1702" s="5">
        <v>-29785</v>
      </c>
      <c r="F1702" s="3" t="s">
        <v>1031</v>
      </c>
      <c r="G1702" s="3" t="s">
        <v>59</v>
      </c>
      <c r="H1702" s="2" t="s">
        <v>21</v>
      </c>
      <c r="I1702" s="2" t="s">
        <v>4161</v>
      </c>
      <c r="J1702" s="3" t="str">
        <f>HYPERLINK("https://www.boe.es/gazeta/dias/1818/06/13/pdfs/GMD-1818-71.pdf#page=6","Abrir facsímil")</f>
        <v>Abrir facsímil</v>
      </c>
      <c r="K1702" s="3" t="s">
        <v>23</v>
      </c>
    </row>
    <row r="1703" spans="1:11" ht="42" customHeight="1">
      <c r="A1703" s="2" t="s">
        <v>4162</v>
      </c>
      <c r="B1703" s="2" t="s">
        <v>4163</v>
      </c>
      <c r="C1703" s="2" t="s">
        <v>68</v>
      </c>
      <c r="D1703" s="2" t="s">
        <v>69</v>
      </c>
      <c r="E1703" s="5">
        <v>-29752</v>
      </c>
      <c r="F1703" s="3" t="s">
        <v>165</v>
      </c>
      <c r="G1703" s="3" t="s">
        <v>59</v>
      </c>
      <c r="H1703" s="2" t="s">
        <v>36</v>
      </c>
      <c r="I1703" s="2" t="s">
        <v>4164</v>
      </c>
      <c r="J1703" s="3" t="str">
        <f>HYPERLINK("https://www.boe.es/gazeta/dias/1818/07/16/pdfs/GMD-1818-85.pdf#page=6","Abrir facsímil")</f>
        <v>Abrir facsímil</v>
      </c>
      <c r="K1703" s="3" t="s">
        <v>38</v>
      </c>
    </row>
    <row r="1704" spans="1:11" ht="42" customHeight="1">
      <c r="A1704" s="2" t="s">
        <v>4165</v>
      </c>
      <c r="B1704" s="2" t="s">
        <v>4166</v>
      </c>
      <c r="C1704" s="2" t="s">
        <v>57</v>
      </c>
      <c r="D1704" s="2" t="s">
        <v>18</v>
      </c>
      <c r="E1704" s="5">
        <v>-29624</v>
      </c>
      <c r="F1704" s="3" t="s">
        <v>131</v>
      </c>
      <c r="G1704" s="3" t="s">
        <v>20</v>
      </c>
      <c r="H1704" s="2" t="s">
        <v>36</v>
      </c>
      <c r="I1704" s="2" t="s">
        <v>4167</v>
      </c>
      <c r="J1704" s="3" t="str">
        <f>HYPERLINK("https://www.boe.es/gazeta/dias/1818/11/21/pdfs/GMD-1818-141.pdf#page=7","Abrir facsímil")</f>
        <v>Abrir facsímil</v>
      </c>
      <c r="K1704" s="3" t="s">
        <v>38</v>
      </c>
    </row>
    <row r="1705" spans="1:11" ht="42" customHeight="1">
      <c r="A1705" s="2" t="s">
        <v>4168</v>
      </c>
      <c r="B1705" s="2" t="s">
        <v>4169</v>
      </c>
      <c r="C1705" s="2" t="s">
        <v>26</v>
      </c>
      <c r="D1705" s="2" t="s">
        <v>27</v>
      </c>
      <c r="E1705" s="5">
        <v>-29908</v>
      </c>
      <c r="F1705" s="3" t="s">
        <v>695</v>
      </c>
      <c r="G1705" s="3" t="s">
        <v>20</v>
      </c>
      <c r="H1705" s="2" t="s">
        <v>36</v>
      </c>
      <c r="I1705" s="2" t="s">
        <v>4170</v>
      </c>
      <c r="J1705" s="3" t="str">
        <f>HYPERLINK("https://www.boe.es/gazeta/dias/1818/02/10/pdfs/GMD-1818-18.pdf#page=7","Abrir facsímil")</f>
        <v>Abrir facsímil</v>
      </c>
      <c r="K1705" s="3" t="s">
        <v>38</v>
      </c>
    </row>
    <row r="1706" spans="1:11" ht="42" customHeight="1">
      <c r="A1706" s="2" t="s">
        <v>4168</v>
      </c>
      <c r="B1706" s="2" t="s">
        <v>4169</v>
      </c>
      <c r="C1706" s="2" t="s">
        <v>26</v>
      </c>
      <c r="D1706" s="2" t="s">
        <v>27</v>
      </c>
      <c r="E1706" s="5">
        <v>-29708</v>
      </c>
      <c r="F1706" s="3" t="s">
        <v>413</v>
      </c>
      <c r="G1706" s="3" t="s">
        <v>29</v>
      </c>
      <c r="H1706" s="2" t="s">
        <v>36</v>
      </c>
      <c r="I1706" s="2" t="s">
        <v>4171</v>
      </c>
      <c r="J1706" s="3" t="str">
        <f>HYPERLINK("https://www.boe.es/gazeta/dias/1818/08/29/pdfs/GMD-1818-104.pdf#page=4","Abrir facsímil")</f>
        <v>Abrir facsímil</v>
      </c>
      <c r="K1706" s="3" t="s">
        <v>38</v>
      </c>
    </row>
    <row r="1707" spans="1:11" ht="42" customHeight="1">
      <c r="A1707" s="2" t="s">
        <v>4168</v>
      </c>
      <c r="B1707" s="2" t="s">
        <v>4169</v>
      </c>
      <c r="C1707" s="2" t="s">
        <v>17</v>
      </c>
      <c r="D1707" s="2" t="s">
        <v>18</v>
      </c>
      <c r="E1707" s="5">
        <v>-29624</v>
      </c>
      <c r="F1707" s="3" t="s">
        <v>131</v>
      </c>
      <c r="G1707" s="3" t="s">
        <v>20</v>
      </c>
      <c r="H1707" s="2" t="s">
        <v>36</v>
      </c>
      <c r="I1707" s="2" t="s">
        <v>4172</v>
      </c>
      <c r="J1707" s="3" t="str">
        <f>HYPERLINK("https://www.boe.es/gazeta/dias/1818/11/21/pdfs/GMD-1818-141.pdf#page=7","Abrir facsímil")</f>
        <v>Abrir facsímil</v>
      </c>
      <c r="K1707" s="3" t="s">
        <v>38</v>
      </c>
    </row>
    <row r="1708" spans="1:11" ht="42" customHeight="1">
      <c r="A1708" s="2" t="s">
        <v>4173</v>
      </c>
      <c r="B1708" s="2" t="s">
        <v>4174</v>
      </c>
      <c r="C1708" s="2" t="s">
        <v>26</v>
      </c>
      <c r="D1708" s="2" t="s">
        <v>27</v>
      </c>
      <c r="E1708" s="5">
        <v>-29740</v>
      </c>
      <c r="F1708" s="3" t="s">
        <v>152</v>
      </c>
      <c r="G1708" s="3" t="s">
        <v>153</v>
      </c>
      <c r="H1708" s="2" t="s">
        <v>36</v>
      </c>
      <c r="I1708" s="2" t="s">
        <v>4175</v>
      </c>
      <c r="J1708" s="3" t="str">
        <f>HYPERLINK("https://www.boe.es/gazeta/dias/1818/07/28/pdfs/GMD-1818-90.pdf#page=6","Abrir facsímil")</f>
        <v>Abrir facsímil</v>
      </c>
      <c r="K1708" s="3" t="s">
        <v>38</v>
      </c>
    </row>
    <row r="1709" spans="1:11" ht="42" customHeight="1">
      <c r="A1709" s="2" t="s">
        <v>4176</v>
      </c>
      <c r="B1709" s="2" t="s">
        <v>4177</v>
      </c>
      <c r="C1709" s="2" t="s">
        <v>26</v>
      </c>
      <c r="D1709" s="2" t="s">
        <v>27</v>
      </c>
      <c r="E1709" s="5">
        <v>-29911</v>
      </c>
      <c r="F1709" s="3" t="s">
        <v>509</v>
      </c>
      <c r="G1709" s="3" t="s">
        <v>106</v>
      </c>
      <c r="H1709" s="2" t="s">
        <v>36</v>
      </c>
      <c r="I1709" s="2" t="s">
        <v>4178</v>
      </c>
      <c r="J1709" s="3" t="str">
        <f>HYPERLINK("https://www.boe.es/gazeta/dias/1818/02/07/pdfs/GMD-1818-17.pdf#page=5","Abrir facsímil")</f>
        <v>Abrir facsímil</v>
      </c>
      <c r="K1709" s="3" t="s">
        <v>38</v>
      </c>
    </row>
    <row r="1710" spans="1:11" ht="42" customHeight="1">
      <c r="A1710" s="2" t="s">
        <v>4179</v>
      </c>
      <c r="B1710" s="2" t="s">
        <v>4180</v>
      </c>
      <c r="C1710" s="2" t="s">
        <v>215</v>
      </c>
      <c r="D1710" s="2" t="s">
        <v>18</v>
      </c>
      <c r="E1710" s="5">
        <v>-29862</v>
      </c>
      <c r="F1710" s="3" t="s">
        <v>925</v>
      </c>
      <c r="G1710" s="3" t="s">
        <v>59</v>
      </c>
      <c r="H1710" s="2" t="s">
        <v>36</v>
      </c>
      <c r="I1710" s="2" t="s">
        <v>4181</v>
      </c>
      <c r="J1710" s="3" t="str">
        <f>HYPERLINK("https://www.boe.es/gazeta/dias/1818/03/28/pdfs/GMD-1818-38.pdf#page=6","Abrir facsímil")</f>
        <v>Abrir facsímil</v>
      </c>
      <c r="K1710" s="3" t="s">
        <v>38</v>
      </c>
    </row>
    <row r="1711" spans="1:11" ht="42" customHeight="1">
      <c r="A1711" s="2" t="s">
        <v>4182</v>
      </c>
      <c r="B1711" s="2" t="s">
        <v>4183</v>
      </c>
      <c r="C1711" s="2" t="s">
        <v>26</v>
      </c>
      <c r="D1711" s="2" t="s">
        <v>27</v>
      </c>
      <c r="E1711" s="5">
        <v>-29915</v>
      </c>
      <c r="F1711" s="3" t="s">
        <v>429</v>
      </c>
      <c r="G1711" s="3" t="s">
        <v>20</v>
      </c>
      <c r="H1711" s="2" t="s">
        <v>36</v>
      </c>
      <c r="I1711" s="2" t="s">
        <v>4184</v>
      </c>
      <c r="J1711" s="3" t="str">
        <f>HYPERLINK("https://www.boe.es/gazeta/dias/1818/02/03/pdfs/GMD-1818-15.pdf#page=7","Abrir facsímil")</f>
        <v>Abrir facsímil</v>
      </c>
      <c r="K1711" s="3" t="s">
        <v>38</v>
      </c>
    </row>
    <row r="1712" spans="1:11" ht="42" customHeight="1">
      <c r="A1712" s="2" t="s">
        <v>4185</v>
      </c>
      <c r="B1712" s="2" t="s">
        <v>4186</v>
      </c>
      <c r="C1712" s="2" t="s">
        <v>57</v>
      </c>
      <c r="D1712" s="2" t="s">
        <v>18</v>
      </c>
      <c r="E1712" s="5">
        <v>-29624</v>
      </c>
      <c r="F1712" s="3" t="s">
        <v>131</v>
      </c>
      <c r="G1712" s="3" t="s">
        <v>20</v>
      </c>
      <c r="H1712" s="2" t="s">
        <v>36</v>
      </c>
      <c r="I1712" s="2" t="s">
        <v>4187</v>
      </c>
      <c r="J1712" s="3" t="str">
        <f>HYPERLINK("https://www.boe.es/gazeta/dias/1818/11/21/pdfs/GMD-1818-141.pdf#page=7","Abrir facsímil")</f>
        <v>Abrir facsímil</v>
      </c>
      <c r="K1712" s="3" t="s">
        <v>38</v>
      </c>
    </row>
    <row r="1713" spans="1:11" ht="42" customHeight="1">
      <c r="A1713" s="2" t="s">
        <v>4188</v>
      </c>
      <c r="B1713" s="2" t="s">
        <v>4189</v>
      </c>
      <c r="C1713" s="2" t="s">
        <v>68</v>
      </c>
      <c r="D1713" s="2" t="s">
        <v>69</v>
      </c>
      <c r="E1713" s="5">
        <v>-29789</v>
      </c>
      <c r="F1713" s="3" t="s">
        <v>937</v>
      </c>
      <c r="G1713" s="3" t="s">
        <v>45</v>
      </c>
      <c r="H1713" s="2" t="s">
        <v>36</v>
      </c>
      <c r="I1713" s="2" t="s">
        <v>4190</v>
      </c>
      <c r="J1713" s="3" t="str">
        <f>HYPERLINK("https://www.boe.es/gazeta/dias/1818/06/09/pdfs/GMD-1818-69.pdf#page=8","Abrir facsímil")</f>
        <v>Abrir facsímil</v>
      </c>
      <c r="K1713" s="3" t="s">
        <v>38</v>
      </c>
    </row>
    <row r="1714" spans="1:11" ht="42" customHeight="1">
      <c r="A1714" s="2" t="s">
        <v>4188</v>
      </c>
      <c r="B1714" s="2" t="s">
        <v>4189</v>
      </c>
      <c r="C1714" s="2" t="s">
        <v>68</v>
      </c>
      <c r="D1714" s="2" t="s">
        <v>69</v>
      </c>
      <c r="E1714" s="5">
        <v>-29731</v>
      </c>
      <c r="F1714" s="3" t="s">
        <v>299</v>
      </c>
      <c r="G1714" s="3" t="s">
        <v>45</v>
      </c>
      <c r="H1714" s="2" t="s">
        <v>36</v>
      </c>
      <c r="I1714" s="2" t="s">
        <v>4191</v>
      </c>
      <c r="J1714" s="3" t="str">
        <f>HYPERLINK("https://www.boe.es/gazeta/dias/1818/08/06/pdfs/GMD-1818-94.pdf#page=8","Abrir facsímil")</f>
        <v>Abrir facsímil</v>
      </c>
      <c r="K1714" s="3" t="s">
        <v>38</v>
      </c>
    </row>
    <row r="1715" spans="1:11" ht="42" customHeight="1">
      <c r="A1715" s="2" t="s">
        <v>4192</v>
      </c>
      <c r="B1715" s="2" t="s">
        <v>4193</v>
      </c>
      <c r="C1715" s="2" t="s">
        <v>17</v>
      </c>
      <c r="D1715" s="2" t="s">
        <v>18</v>
      </c>
      <c r="E1715" s="5">
        <v>-29745</v>
      </c>
      <c r="F1715" s="3" t="s">
        <v>409</v>
      </c>
      <c r="G1715" s="3" t="s">
        <v>45</v>
      </c>
      <c r="H1715" s="2" t="s">
        <v>36</v>
      </c>
      <c r="I1715" s="2" t="s">
        <v>4194</v>
      </c>
      <c r="J1715" s="3" t="str">
        <f>HYPERLINK("https://www.boe.es/gazeta/dias/1818/07/23/pdfs/GMD-1818-88.pdf#page=8","Abrir facsímil")</f>
        <v>Abrir facsímil</v>
      </c>
      <c r="K1715" s="3" t="s">
        <v>38</v>
      </c>
    </row>
    <row r="1716" spans="1:11" ht="42" customHeight="1">
      <c r="A1716" s="2" t="s">
        <v>4195</v>
      </c>
      <c r="B1716" s="2" t="s">
        <v>4196</v>
      </c>
      <c r="C1716" s="2" t="s">
        <v>68</v>
      </c>
      <c r="D1716" s="2" t="s">
        <v>69</v>
      </c>
      <c r="E1716" s="5">
        <v>-29789</v>
      </c>
      <c r="F1716" s="3" t="s">
        <v>937</v>
      </c>
      <c r="G1716" s="3" t="s">
        <v>45</v>
      </c>
      <c r="H1716" s="2" t="s">
        <v>36</v>
      </c>
      <c r="I1716" s="2" t="s">
        <v>4197</v>
      </c>
      <c r="J1716" s="3" t="str">
        <f>HYPERLINK("https://www.boe.es/gazeta/dias/1818/06/09/pdfs/GMD-1818-69.pdf#page=8","Abrir facsímil")</f>
        <v>Abrir facsímil</v>
      </c>
      <c r="K1716" s="3" t="s">
        <v>38</v>
      </c>
    </row>
    <row r="1717" spans="1:11" ht="42" customHeight="1">
      <c r="A1717" s="2" t="s">
        <v>4195</v>
      </c>
      <c r="B1717" s="2" t="s">
        <v>4196</v>
      </c>
      <c r="C1717" s="2" t="s">
        <v>68</v>
      </c>
      <c r="D1717" s="2" t="s">
        <v>69</v>
      </c>
      <c r="E1717" s="5">
        <v>-29701</v>
      </c>
      <c r="F1717" s="3" t="s">
        <v>596</v>
      </c>
      <c r="G1717" s="3" t="s">
        <v>45</v>
      </c>
      <c r="H1717" s="2" t="s">
        <v>36</v>
      </c>
      <c r="I1717" s="2" t="s">
        <v>4198</v>
      </c>
      <c r="J1717" s="3" t="str">
        <f>HYPERLINK("https://www.boe.es/gazeta/dias/1818/09/05/pdfs/GMD-1818-107.pdf#page=8","Abrir facsímil")</f>
        <v>Abrir facsímil</v>
      </c>
      <c r="K1717" s="3" t="s">
        <v>38</v>
      </c>
    </row>
    <row r="1718" spans="1:11" ht="42" customHeight="1">
      <c r="A1718" s="2" t="s">
        <v>4195</v>
      </c>
      <c r="B1718" s="2" t="s">
        <v>4196</v>
      </c>
      <c r="C1718" s="2" t="s">
        <v>68</v>
      </c>
      <c r="D1718" s="2" t="s">
        <v>69</v>
      </c>
      <c r="E1718" s="5">
        <v>-29687</v>
      </c>
      <c r="F1718" s="3" t="s">
        <v>686</v>
      </c>
      <c r="G1718" s="3" t="s">
        <v>45</v>
      </c>
      <c r="H1718" s="2" t="s">
        <v>36</v>
      </c>
      <c r="I1718" s="2" t="s">
        <v>4199</v>
      </c>
      <c r="J1718" s="3" t="str">
        <f>HYPERLINK("https://www.boe.es/gazeta/dias/1818/09/19/pdfs/GMD-1818-113.pdf#page=8","Abrir facsímil")</f>
        <v>Abrir facsímil</v>
      </c>
      <c r="K1718" s="3" t="s">
        <v>38</v>
      </c>
    </row>
    <row r="1719" spans="1:11" ht="42" customHeight="1">
      <c r="A1719" s="2" t="s">
        <v>4195</v>
      </c>
      <c r="B1719" s="2" t="s">
        <v>4196</v>
      </c>
      <c r="C1719" s="2" t="s">
        <v>68</v>
      </c>
      <c r="D1719" s="2" t="s">
        <v>69</v>
      </c>
      <c r="E1719" s="5">
        <v>-29635</v>
      </c>
      <c r="F1719" s="3" t="s">
        <v>560</v>
      </c>
      <c r="G1719" s="3" t="s">
        <v>45</v>
      </c>
      <c r="H1719" s="2" t="s">
        <v>36</v>
      </c>
      <c r="I1719" s="2" t="s">
        <v>4200</v>
      </c>
      <c r="J1719" s="3" t="str">
        <f>HYPERLINK("https://www.boe.es/gazeta/dias/1818/11/10/pdfs/GMD-1818-136.pdf#page=8","Abrir facsímil")</f>
        <v>Abrir facsímil</v>
      </c>
      <c r="K1719" s="3" t="s">
        <v>38</v>
      </c>
    </row>
    <row r="1720" spans="1:11" ht="42" customHeight="1">
      <c r="A1720" s="2" t="s">
        <v>4201</v>
      </c>
      <c r="B1720" s="2" t="s">
        <v>4202</v>
      </c>
      <c r="C1720" s="2" t="s">
        <v>68</v>
      </c>
      <c r="D1720" s="2" t="s">
        <v>69</v>
      </c>
      <c r="E1720" s="5">
        <v>-29897</v>
      </c>
      <c r="F1720" s="3" t="s">
        <v>318</v>
      </c>
      <c r="G1720" s="3" t="s">
        <v>45</v>
      </c>
      <c r="H1720" s="2" t="s">
        <v>36</v>
      </c>
      <c r="I1720" s="2" t="s">
        <v>4203</v>
      </c>
      <c r="J1720" s="3" t="str">
        <f>HYPERLINK("https://www.boe.es/gazeta/dias/1818/02/21/pdfs/GMD-1818-23.pdf#page=8","Abrir facsímil")</f>
        <v>Abrir facsímil</v>
      </c>
      <c r="K1720" s="3" t="s">
        <v>38</v>
      </c>
    </row>
    <row r="1721" spans="1:11" ht="42" customHeight="1">
      <c r="A1721" s="2" t="s">
        <v>4201</v>
      </c>
      <c r="B1721" s="2" t="s">
        <v>4202</v>
      </c>
      <c r="C1721" s="2" t="s">
        <v>68</v>
      </c>
      <c r="D1721" s="2" t="s">
        <v>69</v>
      </c>
      <c r="E1721" s="5">
        <v>-29782</v>
      </c>
      <c r="F1721" s="3" t="s">
        <v>226</v>
      </c>
      <c r="G1721" s="3" t="s">
        <v>45</v>
      </c>
      <c r="H1721" s="2" t="s">
        <v>36</v>
      </c>
      <c r="I1721" s="2" t="s">
        <v>4204</v>
      </c>
      <c r="J1721" s="3" t="str">
        <f>HYPERLINK("https://www.boe.es/gazeta/dias/1818/06/16/pdfs/GMD-1818-72.pdf#page=8","Abrir facsímil")</f>
        <v>Abrir facsímil</v>
      </c>
      <c r="K1721" s="3" t="s">
        <v>38</v>
      </c>
    </row>
    <row r="1722" spans="1:11" ht="42" customHeight="1">
      <c r="A1722" s="2" t="s">
        <v>4205</v>
      </c>
      <c r="B1722" s="2" t="s">
        <v>4206</v>
      </c>
      <c r="C1722" s="2" t="s">
        <v>26</v>
      </c>
      <c r="D1722" s="2" t="s">
        <v>27</v>
      </c>
      <c r="E1722" s="5">
        <v>-29764</v>
      </c>
      <c r="F1722" s="3" t="s">
        <v>464</v>
      </c>
      <c r="G1722" s="3" t="s">
        <v>106</v>
      </c>
      <c r="H1722" s="2" t="s">
        <v>36</v>
      </c>
      <c r="I1722" s="2" t="s">
        <v>4207</v>
      </c>
      <c r="J1722" s="3" t="str">
        <f>HYPERLINK("https://www.boe.es/gazeta/dias/1818/07/04/pdfs/GMD-1818-80.pdf#page=5","Abrir facsímil")</f>
        <v>Abrir facsímil</v>
      </c>
      <c r="K1722" s="3" t="s">
        <v>38</v>
      </c>
    </row>
    <row r="1723" spans="1:11" ht="42" customHeight="1">
      <c r="A1723" s="2" t="s">
        <v>4205</v>
      </c>
      <c r="B1723" s="2" t="s">
        <v>4206</v>
      </c>
      <c r="C1723" s="2" t="s">
        <v>26</v>
      </c>
      <c r="D1723" s="2" t="s">
        <v>27</v>
      </c>
      <c r="E1723" s="5">
        <v>-29764</v>
      </c>
      <c r="F1723" s="3" t="s">
        <v>464</v>
      </c>
      <c r="G1723" s="3" t="s">
        <v>59</v>
      </c>
      <c r="H1723" s="2" t="s">
        <v>36</v>
      </c>
      <c r="I1723" s="2" t="s">
        <v>4208</v>
      </c>
      <c r="J1723" s="3" t="str">
        <f>HYPERLINK("https://www.boe.es/gazeta/dias/1818/07/04/pdfs/GMD-1818-80.pdf#page=6","Abrir facsímil")</f>
        <v>Abrir facsímil</v>
      </c>
      <c r="K1723" s="3" t="s">
        <v>38</v>
      </c>
    </row>
    <row r="1724" spans="1:11" ht="42" customHeight="1">
      <c r="A1724" s="2" t="s">
        <v>4205</v>
      </c>
      <c r="B1724" s="2" t="s">
        <v>4206</v>
      </c>
      <c r="C1724" s="2" t="s">
        <v>26</v>
      </c>
      <c r="D1724" s="2" t="s">
        <v>27</v>
      </c>
      <c r="E1724" s="5">
        <v>-29738</v>
      </c>
      <c r="F1724" s="3" t="s">
        <v>263</v>
      </c>
      <c r="G1724" s="3" t="s">
        <v>20</v>
      </c>
      <c r="H1724" s="2" t="s">
        <v>36</v>
      </c>
      <c r="I1724" s="2" t="s">
        <v>4209</v>
      </c>
      <c r="J1724" s="3" t="str">
        <f>HYPERLINK("https://www.boe.es/gazeta/dias/1818/07/30/pdfs/GMD-1818-91.pdf#page=7","Abrir facsímil")</f>
        <v>Abrir facsímil</v>
      </c>
      <c r="K1724" s="3" t="s">
        <v>38</v>
      </c>
    </row>
    <row r="1725" spans="1:11" ht="42" customHeight="1">
      <c r="A1725" s="2" t="s">
        <v>4210</v>
      </c>
      <c r="B1725" s="2" t="s">
        <v>4211</v>
      </c>
      <c r="C1725" s="2" t="s">
        <v>17</v>
      </c>
      <c r="D1725" s="2" t="s">
        <v>18</v>
      </c>
      <c r="E1725" s="5">
        <v>-29680</v>
      </c>
      <c r="F1725" s="3" t="s">
        <v>865</v>
      </c>
      <c r="G1725" s="3" t="s">
        <v>20</v>
      </c>
      <c r="H1725" s="2" t="s">
        <v>36</v>
      </c>
      <c r="I1725" s="2" t="s">
        <v>4212</v>
      </c>
      <c r="J1725" s="3" t="str">
        <f>HYPERLINK("https://www.boe.es/gazeta/dias/1818/09/26/pdfs/GMD-1818-116.pdf#page=7","Abrir facsímil")</f>
        <v>Abrir facsímil</v>
      </c>
      <c r="K1725" s="3" t="s">
        <v>38</v>
      </c>
    </row>
    <row r="1726" spans="1:11" ht="42" customHeight="1">
      <c r="A1726" s="2" t="s">
        <v>4213</v>
      </c>
      <c r="B1726" s="2" t="s">
        <v>4214</v>
      </c>
      <c r="C1726" s="2" t="s">
        <v>17</v>
      </c>
      <c r="D1726" s="2" t="s">
        <v>18</v>
      </c>
      <c r="E1726" s="5">
        <v>-29831</v>
      </c>
      <c r="F1726" s="3" t="s">
        <v>567</v>
      </c>
      <c r="G1726" s="3" t="s">
        <v>20</v>
      </c>
      <c r="H1726" s="2" t="s">
        <v>36</v>
      </c>
      <c r="I1726" s="2" t="s">
        <v>4215</v>
      </c>
      <c r="J1726" s="3" t="str">
        <f>HYPERLINK("https://www.boe.es/gazeta/dias/1818/04/28/pdfs/GMD-1818-51.pdf#page=7","Abrir facsímil")</f>
        <v>Abrir facsímil</v>
      </c>
      <c r="K1726" s="3" t="s">
        <v>38</v>
      </c>
    </row>
    <row r="1727" spans="1:11" ht="42" customHeight="1">
      <c r="A1727" s="2" t="s">
        <v>4216</v>
      </c>
      <c r="B1727" s="2" t="s">
        <v>4217</v>
      </c>
      <c r="C1727" s="2" t="s">
        <v>17</v>
      </c>
      <c r="D1727" s="2" t="s">
        <v>18</v>
      </c>
      <c r="E1727" s="5">
        <v>-29752</v>
      </c>
      <c r="F1727" s="3" t="s">
        <v>165</v>
      </c>
      <c r="G1727" s="3" t="s">
        <v>106</v>
      </c>
      <c r="H1727" s="2" t="s">
        <v>36</v>
      </c>
      <c r="I1727" s="2" t="s">
        <v>4218</v>
      </c>
      <c r="J1727" s="3" t="str">
        <f>HYPERLINK("https://www.boe.es/gazeta/dias/1818/07/16/pdfs/GMD-1818-85.pdf#page=5","Abrir facsímil")</f>
        <v>Abrir facsímil</v>
      </c>
      <c r="K1727" s="3" t="s">
        <v>38</v>
      </c>
    </row>
    <row r="1728" spans="1:11" ht="42" customHeight="1">
      <c r="A1728" s="2" t="s">
        <v>4219</v>
      </c>
      <c r="B1728" s="2" t="s">
        <v>4219</v>
      </c>
      <c r="C1728" s="2" t="s">
        <v>26</v>
      </c>
      <c r="D1728" s="2" t="s">
        <v>27</v>
      </c>
      <c r="E1728" s="5">
        <v>-29782</v>
      </c>
      <c r="F1728" s="3" t="s">
        <v>226</v>
      </c>
      <c r="G1728" s="3" t="s">
        <v>4220</v>
      </c>
      <c r="H1728" s="2" t="s">
        <v>36</v>
      </c>
      <c r="I1728" s="2" t="s">
        <v>4221</v>
      </c>
      <c r="J1728" s="3" t="str">
        <f>HYPERLINK("https://www.boe.es/gazeta/dias/1818/06/16/pdfs/GMD-1818-72.pdf#page=6","Abrir facsímil")</f>
        <v>Abrir facsímil</v>
      </c>
      <c r="K1728" s="3" t="s">
        <v>38</v>
      </c>
    </row>
    <row r="1729" spans="1:11" ht="42" customHeight="1">
      <c r="A1729" s="2" t="s">
        <v>4222</v>
      </c>
      <c r="B1729" s="2" t="s">
        <v>4222</v>
      </c>
      <c r="C1729" s="2" t="s">
        <v>17</v>
      </c>
      <c r="D1729" s="2" t="s">
        <v>18</v>
      </c>
      <c r="E1729" s="5">
        <v>-29752</v>
      </c>
      <c r="F1729" s="3" t="s">
        <v>165</v>
      </c>
      <c r="G1729" s="3" t="s">
        <v>59</v>
      </c>
      <c r="H1729" s="2" t="s">
        <v>36</v>
      </c>
      <c r="I1729" s="2" t="s">
        <v>4223</v>
      </c>
      <c r="J1729" s="3" t="str">
        <f>HYPERLINK("https://www.boe.es/gazeta/dias/1818/07/16/pdfs/GMD-1818-85.pdf#page=6","Abrir facsímil")</f>
        <v>Abrir facsímil</v>
      </c>
      <c r="K1729" s="3" t="s">
        <v>38</v>
      </c>
    </row>
    <row r="1730" spans="1:11" ht="42" customHeight="1">
      <c r="A1730" s="2" t="s">
        <v>4219</v>
      </c>
      <c r="B1730" s="2" t="s">
        <v>4219</v>
      </c>
      <c r="C1730" s="2" t="s">
        <v>26</v>
      </c>
      <c r="D1730" s="2" t="s">
        <v>27</v>
      </c>
      <c r="E1730" s="5">
        <v>-29619</v>
      </c>
      <c r="F1730" s="3" t="s">
        <v>64</v>
      </c>
      <c r="G1730" s="3" t="s">
        <v>45</v>
      </c>
      <c r="H1730" s="2" t="s">
        <v>36</v>
      </c>
      <c r="I1730" s="2" t="s">
        <v>4224</v>
      </c>
      <c r="J1730" s="3" t="str">
        <f>HYPERLINK("https://www.boe.es/gazeta/dias/1818/11/26/pdfs/GMD-1818-143.pdf#page=8","Abrir facsímil")</f>
        <v>Abrir facsímil</v>
      </c>
      <c r="K1730" s="3" t="s">
        <v>38</v>
      </c>
    </row>
    <row r="1731" spans="1:11" ht="42" customHeight="1">
      <c r="A1731" s="2" t="s">
        <v>4225</v>
      </c>
      <c r="B1731" s="2" t="s">
        <v>4226</v>
      </c>
      <c r="C1731" s="2" t="s">
        <v>17</v>
      </c>
      <c r="D1731" s="2" t="s">
        <v>18</v>
      </c>
      <c r="E1731" s="5">
        <v>-29631</v>
      </c>
      <c r="F1731" s="3" t="s">
        <v>743</v>
      </c>
      <c r="G1731" s="3" t="s">
        <v>85</v>
      </c>
      <c r="H1731" s="2" t="s">
        <v>36</v>
      </c>
      <c r="I1731" s="2" t="s">
        <v>4227</v>
      </c>
      <c r="J1731" s="3" t="str">
        <f>HYPERLINK("https://www.boe.es/gazeta/dias/1818/11/14/pdfs/GMD-1818-138.pdf#page=3","Abrir facsímil")</f>
        <v>Abrir facsímil</v>
      </c>
      <c r="K1731" s="3" t="s">
        <v>38</v>
      </c>
    </row>
    <row r="1732" spans="1:11" ht="42" customHeight="1">
      <c r="A1732" s="2" t="s">
        <v>4228</v>
      </c>
      <c r="B1732" s="2" t="s">
        <v>4228</v>
      </c>
      <c r="C1732" s="2" t="s">
        <v>17</v>
      </c>
      <c r="D1732" s="2" t="s">
        <v>18</v>
      </c>
      <c r="E1732" s="5">
        <v>-29866</v>
      </c>
      <c r="F1732" s="3" t="s">
        <v>828</v>
      </c>
      <c r="G1732" s="3" t="s">
        <v>45</v>
      </c>
      <c r="H1732" s="2" t="s">
        <v>36</v>
      </c>
      <c r="I1732" s="2" t="s">
        <v>4229</v>
      </c>
      <c r="J1732" s="3" t="str">
        <f>HYPERLINK("https://www.boe.es/gazeta/dias/1818/03/24/pdfs/GMD-1818-36.pdf#page=8","Abrir facsímil")</f>
        <v>Abrir facsímil</v>
      </c>
      <c r="K1732" s="3" t="s">
        <v>38</v>
      </c>
    </row>
    <row r="1733" spans="1:11" ht="42" customHeight="1">
      <c r="A1733" s="2" t="s">
        <v>4230</v>
      </c>
      <c r="B1733" s="2" t="s">
        <v>4230</v>
      </c>
      <c r="C1733" s="2" t="s">
        <v>57</v>
      </c>
      <c r="D1733" s="2" t="s">
        <v>18</v>
      </c>
      <c r="E1733" s="5">
        <v>-29771</v>
      </c>
      <c r="F1733" s="3" t="s">
        <v>1260</v>
      </c>
      <c r="G1733" s="3" t="s">
        <v>106</v>
      </c>
      <c r="H1733" s="2" t="s">
        <v>36</v>
      </c>
      <c r="I1733" s="2" t="s">
        <v>4231</v>
      </c>
      <c r="J1733" s="3" t="str">
        <f>HYPERLINK("https://www.boe.es/gazeta/dias/1818/06/27/pdfs/GMD-1818-77.pdf#page=5","Abrir facsímil")</f>
        <v>Abrir facsímil</v>
      </c>
      <c r="K1733" s="3" t="s">
        <v>38</v>
      </c>
    </row>
    <row r="1734" spans="1:11" ht="42" customHeight="1">
      <c r="A1734" s="2" t="s">
        <v>4232</v>
      </c>
      <c r="B1734" s="2" t="s">
        <v>4233</v>
      </c>
      <c r="C1734" s="2" t="s">
        <v>215</v>
      </c>
      <c r="D1734" s="2" t="s">
        <v>18</v>
      </c>
      <c r="E1734" s="5">
        <v>-29852</v>
      </c>
      <c r="F1734" s="3" t="s">
        <v>327</v>
      </c>
      <c r="G1734" s="3" t="s">
        <v>20</v>
      </c>
      <c r="H1734" s="2" t="s">
        <v>36</v>
      </c>
      <c r="I1734" s="2" t="s">
        <v>4234</v>
      </c>
      <c r="J1734" s="3" t="str">
        <f>HYPERLINK("https://www.boe.es/gazeta/dias/1818/04/07/pdfs/GMD-1818-42.pdf#page=7","Abrir facsímil")</f>
        <v>Abrir facsímil</v>
      </c>
      <c r="K1734" s="3" t="s">
        <v>38</v>
      </c>
    </row>
    <row r="1735" spans="1:11" ht="42" customHeight="1">
      <c r="A1735" s="2" t="s">
        <v>4235</v>
      </c>
      <c r="B1735" s="2" t="s">
        <v>4236</v>
      </c>
      <c r="C1735" s="2" t="s">
        <v>17</v>
      </c>
      <c r="D1735" s="2" t="s">
        <v>18</v>
      </c>
      <c r="E1735" s="5">
        <v>-29850</v>
      </c>
      <c r="F1735" s="3" t="s">
        <v>1051</v>
      </c>
      <c r="G1735" s="3" t="s">
        <v>45</v>
      </c>
      <c r="H1735" s="2" t="s">
        <v>36</v>
      </c>
      <c r="I1735" s="2" t="s">
        <v>4237</v>
      </c>
      <c r="J1735" s="3" t="str">
        <f>HYPERLINK("https://www.boe.es/gazeta/dias/1818/04/09/pdfs/GMD-1818-43.pdf#page=8","Abrir facsímil")</f>
        <v>Abrir facsímil</v>
      </c>
      <c r="K1735" s="3" t="s">
        <v>38</v>
      </c>
    </row>
    <row r="1736" spans="1:11" ht="42" customHeight="1">
      <c r="A1736" s="2" t="s">
        <v>4232</v>
      </c>
      <c r="B1736" s="2" t="s">
        <v>4233</v>
      </c>
      <c r="C1736" s="2" t="s">
        <v>57</v>
      </c>
      <c r="D1736" s="2" t="s">
        <v>18</v>
      </c>
      <c r="E1736" s="5">
        <v>-29841</v>
      </c>
      <c r="F1736" s="3" t="s">
        <v>19</v>
      </c>
      <c r="G1736" s="3" t="s">
        <v>20</v>
      </c>
      <c r="H1736" s="2" t="s">
        <v>36</v>
      </c>
      <c r="I1736" s="2" t="s">
        <v>4238</v>
      </c>
      <c r="J1736" s="3" t="str">
        <f>HYPERLINK("https://www.boe.es/gazeta/dias/1818/04/18/pdfs/GMD-1818-47.pdf#page=7","Abrir facsímil")</f>
        <v>Abrir facsímil</v>
      </c>
      <c r="K1736" s="3" t="s">
        <v>38</v>
      </c>
    </row>
    <row r="1737" spans="1:11" ht="42" customHeight="1">
      <c r="A1737" s="2" t="s">
        <v>4232</v>
      </c>
      <c r="B1737" s="2" t="s">
        <v>4233</v>
      </c>
      <c r="C1737" s="2" t="s">
        <v>57</v>
      </c>
      <c r="D1737" s="2" t="s">
        <v>18</v>
      </c>
      <c r="E1737" s="5">
        <v>-29841</v>
      </c>
      <c r="F1737" s="3" t="s">
        <v>19</v>
      </c>
      <c r="G1737" s="3" t="s">
        <v>45</v>
      </c>
      <c r="H1737" s="2" t="s">
        <v>36</v>
      </c>
      <c r="I1737" s="2" t="s">
        <v>4239</v>
      </c>
      <c r="J1737" s="3" t="str">
        <f>HYPERLINK("https://www.boe.es/gazeta/dias/1818/04/18/pdfs/GMD-1818-47.pdf#page=8","Abrir facsímil")</f>
        <v>Abrir facsímil</v>
      </c>
      <c r="K1737" s="3" t="s">
        <v>38</v>
      </c>
    </row>
    <row r="1738" spans="1:11" ht="42" customHeight="1">
      <c r="A1738" s="2" t="s">
        <v>4232</v>
      </c>
      <c r="B1738" s="2" t="s">
        <v>4233</v>
      </c>
      <c r="C1738" s="2" t="s">
        <v>26</v>
      </c>
      <c r="D1738" s="2" t="s">
        <v>27</v>
      </c>
      <c r="E1738" s="5">
        <v>-29836</v>
      </c>
      <c r="F1738" s="3" t="s">
        <v>119</v>
      </c>
      <c r="G1738" s="3" t="s">
        <v>20</v>
      </c>
      <c r="H1738" s="2" t="s">
        <v>36</v>
      </c>
      <c r="I1738" s="2" t="s">
        <v>4240</v>
      </c>
      <c r="J1738" s="3" t="str">
        <f>HYPERLINK("https://www.boe.es/gazeta/dias/1818/04/23/pdfs/GMD-1818-49.pdf#page=7","Abrir facsímil")</f>
        <v>Abrir facsímil</v>
      </c>
      <c r="K1738" s="3" t="s">
        <v>38</v>
      </c>
    </row>
    <row r="1739" spans="1:11" ht="42" customHeight="1">
      <c r="A1739" s="2" t="s">
        <v>4232</v>
      </c>
      <c r="B1739" s="2" t="s">
        <v>4233</v>
      </c>
      <c r="C1739" s="2" t="s">
        <v>57</v>
      </c>
      <c r="D1739" s="2" t="s">
        <v>18</v>
      </c>
      <c r="E1739" s="5">
        <v>-29817</v>
      </c>
      <c r="F1739" s="3" t="s">
        <v>284</v>
      </c>
      <c r="G1739" s="3" t="s">
        <v>45</v>
      </c>
      <c r="H1739" s="2" t="s">
        <v>36</v>
      </c>
      <c r="I1739" s="2" t="s">
        <v>4241</v>
      </c>
      <c r="J1739" s="3" t="str">
        <f>HYPERLINK("https://www.boe.es/gazeta/dias/1818/05/12/pdfs/GMD-1818-57.pdf#page=8","Abrir facsímil")</f>
        <v>Abrir facsímil</v>
      </c>
      <c r="K1739" s="3" t="s">
        <v>38</v>
      </c>
    </row>
    <row r="1740" spans="1:11" ht="42" customHeight="1">
      <c r="A1740" s="2" t="s">
        <v>4242</v>
      </c>
      <c r="B1740" s="2" t="s">
        <v>4243</v>
      </c>
      <c r="C1740" s="2" t="s">
        <v>57</v>
      </c>
      <c r="D1740" s="2" t="s">
        <v>18</v>
      </c>
      <c r="E1740" s="5">
        <v>-29691</v>
      </c>
      <c r="F1740" s="3" t="s">
        <v>144</v>
      </c>
      <c r="G1740" s="3" t="s">
        <v>3860</v>
      </c>
      <c r="H1740" s="2" t="s">
        <v>36</v>
      </c>
      <c r="I1740" s="2" t="s">
        <v>4244</v>
      </c>
      <c r="J1740" s="3" t="str">
        <f>HYPERLINK("https://www.boe.es/gazeta/dias/1818/09/15/pdfs/GMD-1818-111.pdf#page=7","Abrir facsímil")</f>
        <v>Abrir facsímil</v>
      </c>
      <c r="K1740" s="3" t="s">
        <v>38</v>
      </c>
    </row>
    <row r="1741" spans="1:11" ht="42" customHeight="1">
      <c r="A1741" s="2" t="s">
        <v>4245</v>
      </c>
      <c r="B1741" s="2" t="s">
        <v>4246</v>
      </c>
      <c r="C1741" s="2" t="s">
        <v>17</v>
      </c>
      <c r="D1741" s="2" t="s">
        <v>18</v>
      </c>
      <c r="E1741" s="5">
        <v>-29631</v>
      </c>
      <c r="F1741" s="3" t="s">
        <v>743</v>
      </c>
      <c r="G1741" s="3" t="s">
        <v>2819</v>
      </c>
      <c r="H1741" s="2" t="s">
        <v>36</v>
      </c>
      <c r="I1741" s="2" t="s">
        <v>4247</v>
      </c>
      <c r="J1741" s="3" t="str">
        <f>HYPERLINK("https://www.boe.es/gazeta/dias/1818/11/14/pdfs/GMD-1818-138.pdf#page=2","Abrir facsímil")</f>
        <v>Abrir facsímil</v>
      </c>
      <c r="K1741" s="3" t="s">
        <v>38</v>
      </c>
    </row>
    <row r="1742" spans="1:11" ht="42" customHeight="1">
      <c r="A1742" s="2" t="s">
        <v>4248</v>
      </c>
      <c r="B1742" s="2" t="s">
        <v>4249</v>
      </c>
      <c r="C1742" s="2" t="s">
        <v>57</v>
      </c>
      <c r="D1742" s="2" t="s">
        <v>18</v>
      </c>
      <c r="E1742" s="5">
        <v>-29628</v>
      </c>
      <c r="F1742" s="3" t="s">
        <v>58</v>
      </c>
      <c r="G1742" s="3" t="s">
        <v>59</v>
      </c>
      <c r="H1742" s="2" t="s">
        <v>21</v>
      </c>
      <c r="I1742" s="2" t="s">
        <v>4250</v>
      </c>
      <c r="J1742" s="3" t="str">
        <f>HYPERLINK("https://www.boe.es/gazeta/dias/1818/11/17/pdfs/GMD-1818-139.pdf#page=6","Abrir facsímil")</f>
        <v>Abrir facsímil</v>
      </c>
      <c r="K1742" s="3" t="s">
        <v>23</v>
      </c>
    </row>
    <row r="1743" spans="1:11" ht="42" customHeight="1">
      <c r="A1743" s="2" t="s">
        <v>4251</v>
      </c>
      <c r="B1743" s="2" t="s">
        <v>4252</v>
      </c>
      <c r="C1743" s="2" t="s">
        <v>68</v>
      </c>
      <c r="D1743" s="2" t="s">
        <v>69</v>
      </c>
      <c r="E1743" s="5">
        <v>-29857</v>
      </c>
      <c r="F1743" s="3" t="s">
        <v>831</v>
      </c>
      <c r="G1743" s="3" t="s">
        <v>45</v>
      </c>
      <c r="H1743" s="2" t="s">
        <v>36</v>
      </c>
      <c r="I1743" s="2" t="s">
        <v>4253</v>
      </c>
      <c r="J1743" s="3" t="str">
        <f>HYPERLINK("https://www.boe.es/gazeta/dias/1818/04/02/pdfs/GMD-1818-40.pdf#page=8","Abrir facsímil")</f>
        <v>Abrir facsímil</v>
      </c>
      <c r="K1743" s="3" t="s">
        <v>38</v>
      </c>
    </row>
    <row r="1744" spans="1:11" ht="42" customHeight="1">
      <c r="A1744" s="2" t="s">
        <v>4251</v>
      </c>
      <c r="B1744" s="2" t="s">
        <v>4252</v>
      </c>
      <c r="C1744" s="2" t="s">
        <v>68</v>
      </c>
      <c r="D1744" s="2" t="s">
        <v>69</v>
      </c>
      <c r="E1744" s="5">
        <v>-29729</v>
      </c>
      <c r="F1744" s="3" t="s">
        <v>488</v>
      </c>
      <c r="G1744" s="3" t="s">
        <v>489</v>
      </c>
      <c r="H1744" s="2" t="s">
        <v>36</v>
      </c>
      <c r="I1744" s="2" t="s">
        <v>4254</v>
      </c>
      <c r="J1744" s="3" t="str">
        <f>HYPERLINK("https://www.boe.es/gazeta/dias/1818/08/08/pdfs/GMD-1818-95.pdf#page=8","Abrir facsímil")</f>
        <v>Abrir facsímil</v>
      </c>
      <c r="K1744" s="3" t="s">
        <v>38</v>
      </c>
    </row>
    <row r="1745" spans="1:11" ht="42" customHeight="1">
      <c r="A1745" s="2" t="s">
        <v>4255</v>
      </c>
      <c r="B1745" s="2" t="s">
        <v>4255</v>
      </c>
      <c r="C1745" s="2" t="s">
        <v>26</v>
      </c>
      <c r="D1745" s="2" t="s">
        <v>27</v>
      </c>
      <c r="E1745" s="5">
        <v>-29673</v>
      </c>
      <c r="F1745" s="3" t="s">
        <v>1099</v>
      </c>
      <c r="G1745" s="3" t="s">
        <v>45</v>
      </c>
      <c r="H1745" s="2" t="s">
        <v>36</v>
      </c>
      <c r="I1745" s="2" t="s">
        <v>4256</v>
      </c>
      <c r="J1745" s="3" t="str">
        <f>HYPERLINK("https://www.boe.es/gazeta/dias/1818/10/03/pdfs/GMD-1818-119.pdf#page=8","Abrir facsímil")</f>
        <v>Abrir facsímil</v>
      </c>
      <c r="K1745" s="3" t="s">
        <v>38</v>
      </c>
    </row>
    <row r="1746" spans="1:11" ht="42" customHeight="1">
      <c r="A1746" s="2" t="s">
        <v>4257</v>
      </c>
      <c r="B1746" s="2" t="s">
        <v>4258</v>
      </c>
      <c r="C1746" s="2" t="s">
        <v>17</v>
      </c>
      <c r="D1746" s="2" t="s">
        <v>18</v>
      </c>
      <c r="E1746" s="5">
        <v>-29927</v>
      </c>
      <c r="F1746" s="3" t="s">
        <v>1381</v>
      </c>
      <c r="G1746" s="3" t="s">
        <v>59</v>
      </c>
      <c r="H1746" s="2" t="s">
        <v>36</v>
      </c>
      <c r="I1746" s="2" t="s">
        <v>4259</v>
      </c>
      <c r="J1746" s="3" t="str">
        <f>HYPERLINK("https://www.boe.es/gazeta/dias/1818/01/22/pdfs/GMD-1818-10.pdf#page=6","Abrir facsímil")</f>
        <v>Abrir facsímil</v>
      </c>
      <c r="K1746" s="3" t="s">
        <v>38</v>
      </c>
    </row>
    <row r="1747" spans="1:11" ht="42" customHeight="1">
      <c r="A1747" s="2" t="s">
        <v>4260</v>
      </c>
      <c r="B1747" s="2" t="s">
        <v>4261</v>
      </c>
      <c r="C1747" s="2" t="s">
        <v>17</v>
      </c>
      <c r="D1747" s="2" t="s">
        <v>18</v>
      </c>
      <c r="E1747" s="5">
        <v>-29698</v>
      </c>
      <c r="F1747" s="3" t="s">
        <v>148</v>
      </c>
      <c r="G1747" s="3" t="s">
        <v>29</v>
      </c>
      <c r="H1747" s="2" t="s">
        <v>36</v>
      </c>
      <c r="I1747" s="2" t="s">
        <v>4262</v>
      </c>
      <c r="J1747" s="3" t="str">
        <f>HYPERLINK("https://www.boe.es/gazeta/dias/1818/09/08/pdfs/GMD-1818-108.pdf#page=4","Abrir facsímil")</f>
        <v>Abrir facsímil</v>
      </c>
      <c r="K1747" s="3" t="s">
        <v>38</v>
      </c>
    </row>
    <row r="1748" spans="1:11" ht="42" customHeight="1">
      <c r="A1748" s="2" t="s">
        <v>4263</v>
      </c>
      <c r="B1748" s="2" t="s">
        <v>4263</v>
      </c>
      <c r="C1748" s="2" t="s">
        <v>26</v>
      </c>
      <c r="D1748" s="2" t="s">
        <v>27</v>
      </c>
      <c r="E1748" s="5">
        <v>-29803</v>
      </c>
      <c r="F1748" s="3" t="s">
        <v>1393</v>
      </c>
      <c r="G1748" s="3" t="s">
        <v>3536</v>
      </c>
      <c r="H1748" s="2" t="s">
        <v>36</v>
      </c>
      <c r="I1748" s="2" t="s">
        <v>4264</v>
      </c>
      <c r="J1748" s="3" t="str">
        <f>HYPERLINK("https://www.boe.es/gazeta/dias/1818/05/26/pdfs/GMD-1818-63.pdf#page=6","Abrir facsímil")</f>
        <v>Abrir facsímil</v>
      </c>
      <c r="K1748" s="3" t="s">
        <v>38</v>
      </c>
    </row>
    <row r="1749" spans="1:11" ht="42" customHeight="1">
      <c r="A1749" s="2" t="s">
        <v>4265</v>
      </c>
      <c r="B1749" s="2" t="s">
        <v>4266</v>
      </c>
      <c r="C1749" s="2" t="s">
        <v>68</v>
      </c>
      <c r="D1749" s="2" t="s">
        <v>69</v>
      </c>
      <c r="E1749" s="5">
        <v>-29813</v>
      </c>
      <c r="F1749" s="3" t="s">
        <v>839</v>
      </c>
      <c r="G1749" s="3" t="s">
        <v>45</v>
      </c>
      <c r="H1749" s="2" t="s">
        <v>36</v>
      </c>
      <c r="I1749" s="2" t="s">
        <v>4267</v>
      </c>
      <c r="J1749" s="3" t="str">
        <f>HYPERLINK("https://www.boe.es/gazeta/dias/1818/05/16/pdfs/GMD-1818-59.pdf#page=8","Abrir facsímil")</f>
        <v>Abrir facsímil</v>
      </c>
      <c r="K1749" s="3" t="s">
        <v>38</v>
      </c>
    </row>
    <row r="1750" spans="1:11" ht="42" customHeight="1">
      <c r="A1750" s="2" t="s">
        <v>4268</v>
      </c>
      <c r="B1750" s="2" t="s">
        <v>4269</v>
      </c>
      <c r="C1750" s="2" t="s">
        <v>26</v>
      </c>
      <c r="D1750" s="2" t="s">
        <v>27</v>
      </c>
      <c r="E1750" s="5">
        <v>-29631</v>
      </c>
      <c r="F1750" s="3" t="s">
        <v>743</v>
      </c>
      <c r="G1750" s="3" t="s">
        <v>3691</v>
      </c>
      <c r="H1750" s="2" t="s">
        <v>36</v>
      </c>
      <c r="I1750" s="2" t="s">
        <v>4270</v>
      </c>
      <c r="J1750" s="3" t="str">
        <f>HYPERLINK("https://www.boe.es/gazeta/dias/1818/11/14/pdfs/GMD-1818-138.pdf#page=8","Abrir facsímil")</f>
        <v>Abrir facsímil</v>
      </c>
      <c r="K1750" s="3" t="s">
        <v>38</v>
      </c>
    </row>
    <row r="1751" spans="1:11" ht="42" customHeight="1">
      <c r="A1751" s="2" t="s">
        <v>4268</v>
      </c>
      <c r="B1751" s="2" t="s">
        <v>4269</v>
      </c>
      <c r="C1751" s="2" t="s">
        <v>68</v>
      </c>
      <c r="D1751" s="2" t="s">
        <v>69</v>
      </c>
      <c r="E1751" s="5">
        <v>-29628</v>
      </c>
      <c r="F1751" s="3" t="s">
        <v>58</v>
      </c>
      <c r="G1751" s="3" t="s">
        <v>45</v>
      </c>
      <c r="H1751" s="2" t="s">
        <v>36</v>
      </c>
      <c r="I1751" s="2" t="s">
        <v>4271</v>
      </c>
      <c r="J1751" s="3" t="str">
        <f>HYPERLINK("https://www.boe.es/gazeta/dias/1818/11/17/pdfs/GMD-1818-139.pdf#page=8","Abrir facsímil")</f>
        <v>Abrir facsímil</v>
      </c>
      <c r="K1751" s="3" t="s">
        <v>38</v>
      </c>
    </row>
    <row r="1752" spans="1:11" ht="42" customHeight="1">
      <c r="A1752" s="2" t="s">
        <v>4272</v>
      </c>
      <c r="B1752" s="2" t="s">
        <v>4273</v>
      </c>
      <c r="C1752" s="2" t="s">
        <v>68</v>
      </c>
      <c r="D1752" s="2" t="s">
        <v>69</v>
      </c>
      <c r="E1752" s="5">
        <v>-29619</v>
      </c>
      <c r="F1752" s="3" t="s">
        <v>64</v>
      </c>
      <c r="G1752" s="3" t="s">
        <v>45</v>
      </c>
      <c r="H1752" s="2" t="s">
        <v>36</v>
      </c>
      <c r="I1752" s="2" t="s">
        <v>4274</v>
      </c>
      <c r="J1752" s="3" t="str">
        <f>HYPERLINK("https://www.boe.es/gazeta/dias/1818/11/26/pdfs/GMD-1818-143.pdf#page=8","Abrir facsímil")</f>
        <v>Abrir facsímil</v>
      </c>
      <c r="K1752" s="3" t="s">
        <v>38</v>
      </c>
    </row>
    <row r="1753" spans="1:11" ht="42" customHeight="1">
      <c r="A1753" s="2" t="s">
        <v>4268</v>
      </c>
      <c r="B1753" s="2" t="s">
        <v>4269</v>
      </c>
      <c r="C1753" s="2" t="s">
        <v>68</v>
      </c>
      <c r="D1753" s="2" t="s">
        <v>69</v>
      </c>
      <c r="E1753" s="5">
        <v>-29612</v>
      </c>
      <c r="F1753" s="3" t="s">
        <v>1765</v>
      </c>
      <c r="G1753" s="3" t="s">
        <v>45</v>
      </c>
      <c r="H1753" s="2" t="s">
        <v>36</v>
      </c>
      <c r="I1753" s="2" t="s">
        <v>4275</v>
      </c>
      <c r="J1753" s="3" t="str">
        <f>HYPERLINK("https://www.boe.es/gazeta/dias/1818/12/03/pdfs/GMD-1818-146.pdf#page=8","Abrir facsímil")</f>
        <v>Abrir facsímil</v>
      </c>
      <c r="K1753" s="3" t="s">
        <v>38</v>
      </c>
    </row>
    <row r="1754" spans="1:11" ht="42" customHeight="1">
      <c r="A1754" s="2" t="s">
        <v>4268</v>
      </c>
      <c r="B1754" s="2" t="s">
        <v>4269</v>
      </c>
      <c r="C1754" s="2" t="s">
        <v>68</v>
      </c>
      <c r="D1754" s="2" t="s">
        <v>69</v>
      </c>
      <c r="E1754" s="5">
        <v>-29603</v>
      </c>
      <c r="F1754" s="3" t="s">
        <v>647</v>
      </c>
      <c r="G1754" s="3" t="s">
        <v>45</v>
      </c>
      <c r="H1754" s="2" t="s">
        <v>36</v>
      </c>
      <c r="I1754" s="2" t="s">
        <v>4276</v>
      </c>
      <c r="J1754" s="3" t="str">
        <f>HYPERLINK("https://www.boe.es/gazeta/dias/1818/12/12/pdfs/GMD-1818-150.pdf#page=8","Abrir facsímil")</f>
        <v>Abrir facsímil</v>
      </c>
      <c r="K1754" s="3" t="s">
        <v>38</v>
      </c>
    </row>
    <row r="1755" spans="1:11" ht="42" customHeight="1">
      <c r="A1755" s="2" t="s">
        <v>4277</v>
      </c>
      <c r="B1755" s="2" t="s">
        <v>4277</v>
      </c>
      <c r="C1755" s="2" t="s">
        <v>68</v>
      </c>
      <c r="D1755" s="2" t="s">
        <v>69</v>
      </c>
      <c r="E1755" s="5">
        <v>-29722</v>
      </c>
      <c r="F1755" s="3" t="s">
        <v>1127</v>
      </c>
      <c r="G1755" s="3" t="s">
        <v>85</v>
      </c>
      <c r="H1755" s="2" t="s">
        <v>36</v>
      </c>
      <c r="I1755" s="2" t="s">
        <v>4278</v>
      </c>
      <c r="J1755" s="3" t="str">
        <f>HYPERLINK("https://www.boe.es/gazeta/dias/1818/08/15/pdfs/GMD-1818-98.pdf#page=3","Abrir facsímil")</f>
        <v>Abrir facsímil</v>
      </c>
      <c r="K1755" s="3" t="s">
        <v>38</v>
      </c>
    </row>
    <row r="1756" spans="1:11" ht="42" customHeight="1">
      <c r="A1756" s="2" t="s">
        <v>4279</v>
      </c>
      <c r="B1756" s="2" t="s">
        <v>4279</v>
      </c>
      <c r="C1756" s="2" t="s">
        <v>63</v>
      </c>
      <c r="D1756" s="2" t="s">
        <v>18</v>
      </c>
      <c r="E1756" s="5">
        <v>-29645</v>
      </c>
      <c r="F1756" s="3" t="s">
        <v>577</v>
      </c>
      <c r="G1756" s="3" t="s">
        <v>120</v>
      </c>
      <c r="H1756" s="2" t="s">
        <v>36</v>
      </c>
      <c r="I1756" s="2" t="s">
        <v>4280</v>
      </c>
      <c r="J1756" s="3" t="str">
        <f>HYPERLINK("https://www.boe.es/gazeta/dias/1818/10/31/pdfs/GMD-1818-132.pdf#page=2","Abrir facsímil")</f>
        <v>Abrir facsímil</v>
      </c>
      <c r="K1756" s="3" t="s">
        <v>38</v>
      </c>
    </row>
    <row r="1757" spans="1:11" ht="42" customHeight="1">
      <c r="A1757" s="2" t="s">
        <v>4281</v>
      </c>
      <c r="B1757" s="2" t="s">
        <v>4282</v>
      </c>
      <c r="C1757" s="2" t="s">
        <v>26</v>
      </c>
      <c r="D1757" s="2" t="s">
        <v>27</v>
      </c>
      <c r="E1757" s="5">
        <v>-29719</v>
      </c>
      <c r="F1757" s="3" t="s">
        <v>243</v>
      </c>
      <c r="G1757" s="3" t="s">
        <v>111</v>
      </c>
      <c r="H1757" s="2" t="s">
        <v>36</v>
      </c>
      <c r="I1757" s="2" t="s">
        <v>4283</v>
      </c>
      <c r="J1757" s="3" t="str">
        <f>HYPERLINK("https://www.boe.es/gazeta/dias/1818/08/18/pdfs/GMD-1818-99.pdf#page=11","Abrir facsímil")</f>
        <v>Abrir facsímil</v>
      </c>
      <c r="K1757" s="3" t="s">
        <v>38</v>
      </c>
    </row>
    <row r="1758" spans="1:11" ht="42" customHeight="1">
      <c r="A1758" s="2" t="s">
        <v>4284</v>
      </c>
      <c r="B1758" s="2" t="s">
        <v>4285</v>
      </c>
      <c r="C1758" s="2" t="s">
        <v>68</v>
      </c>
      <c r="D1758" s="2" t="s">
        <v>69</v>
      </c>
      <c r="E1758" s="5">
        <v>-29663</v>
      </c>
      <c r="F1758" s="3" t="s">
        <v>1011</v>
      </c>
      <c r="G1758" s="3" t="s">
        <v>20</v>
      </c>
      <c r="H1758" s="2" t="s">
        <v>36</v>
      </c>
      <c r="I1758" s="2" t="s">
        <v>4286</v>
      </c>
      <c r="J1758" s="3" t="str">
        <f>HYPERLINK("https://www.boe.es/gazeta/dias/1818/10/13/pdfs/GMD-1818-123.pdf#page=7","Abrir facsímil")</f>
        <v>Abrir facsímil</v>
      </c>
      <c r="K1758" s="3" t="s">
        <v>38</v>
      </c>
    </row>
    <row r="1759" spans="1:11" ht="42" customHeight="1">
      <c r="A1759" s="2" t="s">
        <v>4287</v>
      </c>
      <c r="B1759" s="2" t="s">
        <v>4288</v>
      </c>
      <c r="C1759" s="2" t="s">
        <v>68</v>
      </c>
      <c r="D1759" s="2" t="s">
        <v>69</v>
      </c>
      <c r="E1759" s="5">
        <v>-29948</v>
      </c>
      <c r="F1759" s="3" t="s">
        <v>199</v>
      </c>
      <c r="G1759" s="3" t="s">
        <v>45</v>
      </c>
      <c r="H1759" s="2" t="s">
        <v>36</v>
      </c>
      <c r="I1759" s="2" t="s">
        <v>4289</v>
      </c>
      <c r="J1759" s="3" t="str">
        <f>HYPERLINK("https://www.boe.es/gazeta/dias/1818/01/01/pdfs/GMD-1818-1.pdf#page=8","Abrir facsímil")</f>
        <v>Abrir facsímil</v>
      </c>
      <c r="K1759" s="3" t="s">
        <v>38</v>
      </c>
    </row>
    <row r="1760" spans="1:11" ht="42" customHeight="1">
      <c r="A1760" s="2" t="s">
        <v>4290</v>
      </c>
      <c r="B1760" s="2" t="s">
        <v>4291</v>
      </c>
      <c r="C1760" s="2" t="s">
        <v>68</v>
      </c>
      <c r="D1760" s="2" t="s">
        <v>69</v>
      </c>
      <c r="E1760" s="5">
        <v>-29596</v>
      </c>
      <c r="F1760" s="3" t="s">
        <v>555</v>
      </c>
      <c r="G1760" s="3" t="s">
        <v>59</v>
      </c>
      <c r="H1760" s="2" t="s">
        <v>36</v>
      </c>
      <c r="I1760" s="2" t="s">
        <v>4292</v>
      </c>
      <c r="J1760" s="3" t="str">
        <f>HYPERLINK("https://www.boe.es/gazeta/dias/1818/12/19/pdfs/GMD-1818-153.pdf#page=6","Abrir facsímil")</f>
        <v>Abrir facsímil</v>
      </c>
      <c r="K1760" s="3" t="s">
        <v>38</v>
      </c>
    </row>
    <row r="1761" spans="1:11" ht="42" customHeight="1">
      <c r="A1761" s="2" t="s">
        <v>4293</v>
      </c>
      <c r="B1761" s="2" t="s">
        <v>4294</v>
      </c>
      <c r="C1761" s="2" t="s">
        <v>17</v>
      </c>
      <c r="D1761" s="2" t="s">
        <v>18</v>
      </c>
      <c r="E1761" s="5">
        <v>-29829</v>
      </c>
      <c r="F1761" s="3" t="s">
        <v>44</v>
      </c>
      <c r="G1761" s="3" t="s">
        <v>29</v>
      </c>
      <c r="H1761" s="2" t="s">
        <v>36</v>
      </c>
      <c r="I1761" s="2" t="s">
        <v>4295</v>
      </c>
      <c r="J1761" s="3" t="str">
        <f>HYPERLINK("https://www.boe.es/gazeta/dias/1818/04/30/pdfs/GMD-1818-52.pdf#page=4","Abrir facsímil")</f>
        <v>Abrir facsímil</v>
      </c>
      <c r="K1761" s="3" t="s">
        <v>38</v>
      </c>
    </row>
    <row r="1762" spans="1:11" ht="42" customHeight="1">
      <c r="A1762" s="2" t="s">
        <v>4296</v>
      </c>
      <c r="B1762" s="2" t="s">
        <v>4297</v>
      </c>
      <c r="C1762" s="2" t="s">
        <v>26</v>
      </c>
      <c r="D1762" s="2" t="s">
        <v>27</v>
      </c>
      <c r="E1762" s="5">
        <v>-29876</v>
      </c>
      <c r="F1762" s="3" t="s">
        <v>338</v>
      </c>
      <c r="G1762" s="3" t="s">
        <v>339</v>
      </c>
      <c r="H1762" s="2" t="s">
        <v>36</v>
      </c>
      <c r="I1762" s="2" t="s">
        <v>4298</v>
      </c>
      <c r="J1762" s="3" t="str">
        <f>HYPERLINK("https://www.boe.es/gazeta/dias/1818/03/14/pdfs/GMD-1818-32.pdf#page=8","Abrir facsímil")</f>
        <v>Abrir facsímil</v>
      </c>
      <c r="K1762" s="3" t="s">
        <v>38</v>
      </c>
    </row>
    <row r="1763" spans="1:11" ht="42" customHeight="1">
      <c r="A1763" s="2" t="s">
        <v>4299</v>
      </c>
      <c r="B1763" s="2" t="s">
        <v>4300</v>
      </c>
      <c r="C1763" s="2" t="s">
        <v>68</v>
      </c>
      <c r="D1763" s="2" t="s">
        <v>69</v>
      </c>
      <c r="E1763" s="5">
        <v>-29880</v>
      </c>
      <c r="F1763" s="3" t="s">
        <v>359</v>
      </c>
      <c r="G1763" s="3" t="s">
        <v>20</v>
      </c>
      <c r="H1763" s="2" t="s">
        <v>36</v>
      </c>
      <c r="I1763" s="2" t="s">
        <v>4301</v>
      </c>
      <c r="J1763" s="3" t="str">
        <f>HYPERLINK("https://www.boe.es/gazeta/dias/1818/03/10/pdfs/GMD-1818-30.pdf#page=7","Abrir facsímil")</f>
        <v>Abrir facsímil</v>
      </c>
      <c r="K1763" s="3" t="s">
        <v>38</v>
      </c>
    </row>
    <row r="1764" spans="1:11" ht="42" customHeight="1">
      <c r="A1764" s="2" t="s">
        <v>4299</v>
      </c>
      <c r="B1764" s="2" t="s">
        <v>4300</v>
      </c>
      <c r="C1764" s="2" t="s">
        <v>68</v>
      </c>
      <c r="D1764" s="2" t="s">
        <v>69</v>
      </c>
      <c r="E1764" s="5">
        <v>-29878</v>
      </c>
      <c r="F1764" s="3" t="s">
        <v>353</v>
      </c>
      <c r="G1764" s="3" t="s">
        <v>45</v>
      </c>
      <c r="H1764" s="2" t="s">
        <v>36</v>
      </c>
      <c r="I1764" s="2" t="s">
        <v>4302</v>
      </c>
      <c r="J1764" s="3" t="str">
        <f>HYPERLINK("https://www.boe.es/gazeta/dias/1818/03/12/pdfs/GMD-1818-31.pdf#page=8","Abrir facsímil")</f>
        <v>Abrir facsímil</v>
      </c>
      <c r="K1764" s="3" t="s">
        <v>38</v>
      </c>
    </row>
    <row r="1765" spans="1:11" ht="42" customHeight="1">
      <c r="A1765" s="2" t="s">
        <v>4299</v>
      </c>
      <c r="B1765" s="2" t="s">
        <v>4300</v>
      </c>
      <c r="C1765" s="2" t="s">
        <v>26</v>
      </c>
      <c r="D1765" s="2" t="s">
        <v>27</v>
      </c>
      <c r="E1765" s="5">
        <v>-29803</v>
      </c>
      <c r="F1765" s="3" t="s">
        <v>1393</v>
      </c>
      <c r="G1765" s="3" t="s">
        <v>45</v>
      </c>
      <c r="H1765" s="2" t="s">
        <v>36</v>
      </c>
      <c r="I1765" s="2" t="s">
        <v>4303</v>
      </c>
      <c r="J1765" s="3" t="str">
        <f>HYPERLINK("https://www.boe.es/gazeta/dias/1818/05/26/pdfs/GMD-1818-63.pdf#page=8","Abrir facsímil")</f>
        <v>Abrir facsímil</v>
      </c>
      <c r="K1765" s="3" t="s">
        <v>38</v>
      </c>
    </row>
    <row r="1766" spans="1:11" ht="42" customHeight="1">
      <c r="A1766" s="2" t="s">
        <v>4304</v>
      </c>
      <c r="B1766" s="2" t="s">
        <v>4305</v>
      </c>
      <c r="C1766" s="2" t="s">
        <v>26</v>
      </c>
      <c r="D1766" s="2" t="s">
        <v>27</v>
      </c>
      <c r="E1766" s="5">
        <v>-29766</v>
      </c>
      <c r="F1766" s="3" t="s">
        <v>276</v>
      </c>
      <c r="G1766" s="3" t="s">
        <v>45</v>
      </c>
      <c r="H1766" s="2" t="s">
        <v>36</v>
      </c>
      <c r="I1766" s="2" t="s">
        <v>4306</v>
      </c>
      <c r="J1766" s="3" t="str">
        <f>HYPERLINK("https://www.boe.es/gazeta/dias/1818/07/02/pdfs/GMD-1818-79.pdf#page=8","Abrir facsímil")</f>
        <v>Abrir facsímil</v>
      </c>
      <c r="K1766" s="3" t="s">
        <v>38</v>
      </c>
    </row>
    <row r="1767" spans="1:11" ht="42" customHeight="1">
      <c r="A1767" s="2" t="s">
        <v>4299</v>
      </c>
      <c r="B1767" s="2" t="s">
        <v>4300</v>
      </c>
      <c r="C1767" s="2" t="s">
        <v>26</v>
      </c>
      <c r="D1767" s="2" t="s">
        <v>27</v>
      </c>
      <c r="E1767" s="5">
        <v>-29684</v>
      </c>
      <c r="F1767" s="3" t="s">
        <v>311</v>
      </c>
      <c r="G1767" s="3" t="s">
        <v>45</v>
      </c>
      <c r="H1767" s="2" t="s">
        <v>36</v>
      </c>
      <c r="I1767" s="2" t="s">
        <v>4307</v>
      </c>
      <c r="J1767" s="3" t="str">
        <f>HYPERLINK("https://www.boe.es/gazeta/dias/1818/09/22/pdfs/GMD-1818-114.pdf#page=8","Abrir facsímil")</f>
        <v>Abrir facsímil</v>
      </c>
      <c r="K1767" s="3" t="s">
        <v>38</v>
      </c>
    </row>
    <row r="1768" spans="1:11" ht="42" customHeight="1">
      <c r="A1768" s="2" t="s">
        <v>4299</v>
      </c>
      <c r="B1768" s="2" t="s">
        <v>4300</v>
      </c>
      <c r="C1768" s="2" t="s">
        <v>68</v>
      </c>
      <c r="D1768" s="2" t="s">
        <v>69</v>
      </c>
      <c r="E1768" s="5">
        <v>-29677</v>
      </c>
      <c r="F1768" s="3" t="s">
        <v>157</v>
      </c>
      <c r="G1768" s="3" t="s">
        <v>158</v>
      </c>
      <c r="H1768" s="2" t="s">
        <v>36</v>
      </c>
      <c r="I1768" s="2" t="s">
        <v>4308</v>
      </c>
      <c r="J1768" s="3" t="str">
        <f>HYPERLINK("https://www.boe.es/gazeta/dias/1818/09/29/pdfs/GMD-1818-117.pdf#page=8","Abrir facsímil")</f>
        <v>Abrir facsímil</v>
      </c>
      <c r="K1768" s="3" t="s">
        <v>38</v>
      </c>
    </row>
    <row r="1769" spans="1:11" ht="42" customHeight="1">
      <c r="A1769" s="2" t="s">
        <v>4299</v>
      </c>
      <c r="B1769" s="2" t="s">
        <v>4300</v>
      </c>
      <c r="C1769" s="2" t="s">
        <v>26</v>
      </c>
      <c r="D1769" s="2" t="s">
        <v>27</v>
      </c>
      <c r="E1769" s="5">
        <v>-29673</v>
      </c>
      <c r="F1769" s="3" t="s">
        <v>1099</v>
      </c>
      <c r="G1769" s="3" t="s">
        <v>45</v>
      </c>
      <c r="H1769" s="2" t="s">
        <v>36</v>
      </c>
      <c r="I1769" s="2" t="s">
        <v>4309</v>
      </c>
      <c r="J1769" s="3" t="str">
        <f>HYPERLINK("https://www.boe.es/gazeta/dias/1818/10/03/pdfs/GMD-1818-119.pdf#page=8","Abrir facsímil")</f>
        <v>Abrir facsímil</v>
      </c>
      <c r="K1769" s="3" t="s">
        <v>38</v>
      </c>
    </row>
    <row r="1770" spans="1:11" ht="42" customHeight="1">
      <c r="A1770" s="2" t="s">
        <v>4310</v>
      </c>
      <c r="B1770" s="2" t="s">
        <v>4311</v>
      </c>
      <c r="C1770" s="2" t="s">
        <v>68</v>
      </c>
      <c r="D1770" s="2" t="s">
        <v>69</v>
      </c>
      <c r="E1770" s="5">
        <v>-29782</v>
      </c>
      <c r="F1770" s="3" t="s">
        <v>226</v>
      </c>
      <c r="G1770" s="3" t="s">
        <v>120</v>
      </c>
      <c r="H1770" s="2" t="s">
        <v>36</v>
      </c>
      <c r="I1770" s="2" t="s">
        <v>4312</v>
      </c>
      <c r="J1770" s="3" t="str">
        <f>HYPERLINK("https://www.boe.es/gazeta/dias/1818/06/16/pdfs/GMD-1818-72.pdf#page=2","Abrir facsímil")</f>
        <v>Abrir facsímil</v>
      </c>
      <c r="K1770" s="3" t="s">
        <v>38</v>
      </c>
    </row>
    <row r="1771" spans="1:11" ht="42" customHeight="1">
      <c r="A1771" s="2" t="s">
        <v>4313</v>
      </c>
      <c r="B1771" s="2" t="s">
        <v>4314</v>
      </c>
      <c r="C1771" s="2" t="s">
        <v>26</v>
      </c>
      <c r="D1771" s="2" t="s">
        <v>27</v>
      </c>
      <c r="E1771" s="5">
        <v>-29920</v>
      </c>
      <c r="F1771" s="3" t="s">
        <v>201</v>
      </c>
      <c r="G1771" s="3" t="s">
        <v>106</v>
      </c>
      <c r="H1771" s="2" t="s">
        <v>36</v>
      </c>
      <c r="I1771" s="2" t="s">
        <v>4315</v>
      </c>
      <c r="J1771" s="3" t="str">
        <f>HYPERLINK("https://www.boe.es/gazeta/dias/1818/01/29/pdfs/GMD-1818-13.pdf#page=5","Abrir facsímil")</f>
        <v>Abrir facsímil</v>
      </c>
      <c r="K1771" s="3" t="s">
        <v>38</v>
      </c>
    </row>
    <row r="1772" spans="1:11" ht="42" customHeight="1">
      <c r="A1772" s="2" t="s">
        <v>4313</v>
      </c>
      <c r="B1772" s="2" t="s">
        <v>4314</v>
      </c>
      <c r="C1772" s="2" t="s">
        <v>26</v>
      </c>
      <c r="D1772" s="2" t="s">
        <v>27</v>
      </c>
      <c r="E1772" s="5">
        <v>-29831</v>
      </c>
      <c r="F1772" s="3" t="s">
        <v>567</v>
      </c>
      <c r="G1772" s="3" t="s">
        <v>20</v>
      </c>
      <c r="H1772" s="2" t="s">
        <v>36</v>
      </c>
      <c r="I1772" s="2" t="s">
        <v>4316</v>
      </c>
      <c r="J1772" s="3" t="str">
        <f>HYPERLINK("https://www.boe.es/gazeta/dias/1818/04/28/pdfs/GMD-1818-51.pdf#page=7","Abrir facsímil")</f>
        <v>Abrir facsímil</v>
      </c>
      <c r="K1772" s="3" t="s">
        <v>38</v>
      </c>
    </row>
    <row r="1773" spans="1:11" ht="42" customHeight="1">
      <c r="A1773" s="2" t="s">
        <v>4317</v>
      </c>
      <c r="B1773" s="2" t="s">
        <v>4317</v>
      </c>
      <c r="C1773" s="2" t="s">
        <v>63</v>
      </c>
      <c r="D1773" s="2" t="s">
        <v>18</v>
      </c>
      <c r="E1773" s="5">
        <v>-29780</v>
      </c>
      <c r="F1773" s="3" t="s">
        <v>461</v>
      </c>
      <c r="G1773" s="3" t="s">
        <v>59</v>
      </c>
      <c r="H1773" s="2" t="s">
        <v>36</v>
      </c>
      <c r="I1773" s="2" t="s">
        <v>4318</v>
      </c>
      <c r="J1773" s="3" t="str">
        <f>HYPERLINK("https://www.boe.es/gazeta/dias/1818/06/18/pdfs/GMD-1818-73.pdf#page=6","Abrir facsímil")</f>
        <v>Abrir facsímil</v>
      </c>
      <c r="K1773" s="3" t="s">
        <v>38</v>
      </c>
    </row>
    <row r="1774" spans="1:11" ht="42" customHeight="1">
      <c r="A1774" s="2" t="s">
        <v>4319</v>
      </c>
      <c r="B1774" s="2" t="s">
        <v>4320</v>
      </c>
      <c r="C1774" s="2" t="s">
        <v>57</v>
      </c>
      <c r="D1774" s="2" t="s">
        <v>18</v>
      </c>
      <c r="E1774" s="5">
        <v>-29780</v>
      </c>
      <c r="F1774" s="3" t="s">
        <v>461</v>
      </c>
      <c r="G1774" s="3" t="s">
        <v>45</v>
      </c>
      <c r="H1774" s="2" t="s">
        <v>36</v>
      </c>
      <c r="I1774" s="2" t="s">
        <v>4321</v>
      </c>
      <c r="J1774" s="3" t="str">
        <f>HYPERLINK("https://www.boe.es/gazeta/dias/1818/06/18/pdfs/GMD-1818-73.pdf#page=8","Abrir facsímil")</f>
        <v>Abrir facsímil</v>
      </c>
      <c r="K1774" s="3" t="s">
        <v>38</v>
      </c>
    </row>
    <row r="1775" spans="1:11" ht="42" customHeight="1">
      <c r="A1775" s="2" t="s">
        <v>4322</v>
      </c>
      <c r="B1775" s="2" t="s">
        <v>4323</v>
      </c>
      <c r="C1775" s="2" t="s">
        <v>26</v>
      </c>
      <c r="D1775" s="2" t="s">
        <v>27</v>
      </c>
      <c r="E1775" s="5">
        <v>-29754</v>
      </c>
      <c r="F1775" s="3" t="s">
        <v>466</v>
      </c>
      <c r="G1775" s="3" t="s">
        <v>59</v>
      </c>
      <c r="H1775" s="2" t="s">
        <v>36</v>
      </c>
      <c r="I1775" s="2" t="s">
        <v>4324</v>
      </c>
      <c r="J1775" s="3" t="str">
        <f>HYPERLINK("https://www.boe.es/gazeta/dias/1818/07/14/pdfs/GMD-1818-84.pdf#page=6","Abrir facsímil")</f>
        <v>Abrir facsímil</v>
      </c>
      <c r="K1775" s="3" t="s">
        <v>38</v>
      </c>
    </row>
    <row r="1776" spans="1:11" ht="42" customHeight="1">
      <c r="A1776" s="2" t="s">
        <v>4325</v>
      </c>
      <c r="B1776" s="2" t="s">
        <v>4326</v>
      </c>
      <c r="C1776" s="2" t="s">
        <v>17</v>
      </c>
      <c r="D1776" s="2" t="s">
        <v>18</v>
      </c>
      <c r="E1776" s="5">
        <v>-29745</v>
      </c>
      <c r="F1776" s="3" t="s">
        <v>409</v>
      </c>
      <c r="G1776" s="3" t="s">
        <v>106</v>
      </c>
      <c r="H1776" s="2" t="s">
        <v>36</v>
      </c>
      <c r="I1776" s="2" t="s">
        <v>4327</v>
      </c>
      <c r="J1776" s="3" t="str">
        <f>HYPERLINK("https://www.boe.es/gazeta/dias/1818/07/23/pdfs/GMD-1818-88.pdf#page=5","Abrir facsímil")</f>
        <v>Abrir facsímil</v>
      </c>
      <c r="K1776" s="3" t="s">
        <v>38</v>
      </c>
    </row>
    <row r="1777" spans="1:11" ht="42" customHeight="1">
      <c r="A1777" s="2" t="s">
        <v>4328</v>
      </c>
      <c r="B1777" s="2" t="s">
        <v>4329</v>
      </c>
      <c r="C1777" s="2" t="s">
        <v>68</v>
      </c>
      <c r="D1777" s="2" t="s">
        <v>69</v>
      </c>
      <c r="E1777" s="5">
        <v>-29635</v>
      </c>
      <c r="F1777" s="3" t="s">
        <v>560</v>
      </c>
      <c r="G1777" s="3" t="s">
        <v>59</v>
      </c>
      <c r="H1777" s="2" t="s">
        <v>36</v>
      </c>
      <c r="I1777" s="2" t="s">
        <v>4330</v>
      </c>
      <c r="J1777" s="3" t="str">
        <f>HYPERLINK("https://www.boe.es/gazeta/dias/1818/11/10/pdfs/GMD-1818-136.pdf#page=6","Abrir facsímil")</f>
        <v>Abrir facsímil</v>
      </c>
      <c r="K1777" s="3" t="s">
        <v>38</v>
      </c>
    </row>
    <row r="1778" spans="1:11" ht="42" customHeight="1">
      <c r="A1778" s="2" t="s">
        <v>4331</v>
      </c>
      <c r="B1778" s="2" t="s">
        <v>4332</v>
      </c>
      <c r="C1778" s="2" t="s">
        <v>26</v>
      </c>
      <c r="D1778" s="2" t="s">
        <v>27</v>
      </c>
      <c r="E1778" s="5">
        <v>-29901</v>
      </c>
      <c r="F1778" s="3" t="s">
        <v>417</v>
      </c>
      <c r="G1778" s="3" t="s">
        <v>111</v>
      </c>
      <c r="H1778" s="2" t="s">
        <v>21</v>
      </c>
      <c r="I1778" s="2" t="s">
        <v>4333</v>
      </c>
      <c r="J1778" s="3" t="str">
        <f>HYPERLINK("https://www.boe.es/gazeta/dias/1818/02/17/pdfs/GMD-1818-21.pdf#page=11","Abrir facsímil")</f>
        <v>Abrir facsímil</v>
      </c>
      <c r="K1778" s="3" t="s">
        <v>23</v>
      </c>
    </row>
    <row r="1779" spans="1:11" ht="42" customHeight="1">
      <c r="A1779" s="2" t="s">
        <v>4334</v>
      </c>
      <c r="B1779" s="2" t="s">
        <v>4335</v>
      </c>
      <c r="C1779" s="2" t="s">
        <v>26</v>
      </c>
      <c r="D1779" s="2" t="s">
        <v>27</v>
      </c>
      <c r="E1779" s="5">
        <v>-29920</v>
      </c>
      <c r="F1779" s="3" t="s">
        <v>201</v>
      </c>
      <c r="G1779" s="3" t="s">
        <v>111</v>
      </c>
      <c r="H1779" s="2" t="s">
        <v>36</v>
      </c>
      <c r="I1779" s="2" t="s">
        <v>4336</v>
      </c>
      <c r="J1779" s="3" t="str">
        <f>HYPERLINK("https://www.boe.es/gazeta/dias/1818/01/29/pdfs/GMD-1818-13.pdf#page=11","Abrir facsímil")</f>
        <v>Abrir facsímil</v>
      </c>
      <c r="K1779" s="3" t="s">
        <v>38</v>
      </c>
    </row>
    <row r="1780" spans="1:11" ht="42" customHeight="1">
      <c r="A1780" s="2" t="s">
        <v>4337</v>
      </c>
      <c r="B1780" s="2" t="s">
        <v>4338</v>
      </c>
      <c r="C1780" s="2" t="s">
        <v>26</v>
      </c>
      <c r="D1780" s="2" t="s">
        <v>27</v>
      </c>
      <c r="E1780" s="5">
        <v>-29911</v>
      </c>
      <c r="F1780" s="3" t="s">
        <v>509</v>
      </c>
      <c r="G1780" s="3" t="s">
        <v>20</v>
      </c>
      <c r="H1780" s="2" t="s">
        <v>36</v>
      </c>
      <c r="I1780" s="2" t="s">
        <v>4339</v>
      </c>
      <c r="J1780" s="3" t="str">
        <f>HYPERLINK("https://www.boe.es/gazeta/dias/1818/02/07/pdfs/GMD-1818-17.pdf#page=7","Abrir facsímil")</f>
        <v>Abrir facsímil</v>
      </c>
      <c r="K1780" s="3" t="s">
        <v>38</v>
      </c>
    </row>
    <row r="1781" spans="1:11" ht="42" customHeight="1">
      <c r="A1781" s="2" t="s">
        <v>4340</v>
      </c>
      <c r="B1781" s="2" t="s">
        <v>4341</v>
      </c>
      <c r="C1781" s="2" t="s">
        <v>33</v>
      </c>
      <c r="D1781" s="2" t="s">
        <v>18</v>
      </c>
      <c r="E1781" s="5">
        <v>-29845</v>
      </c>
      <c r="F1781" s="3" t="s">
        <v>105</v>
      </c>
      <c r="G1781" s="3" t="s">
        <v>45</v>
      </c>
      <c r="H1781" s="2" t="s">
        <v>36</v>
      </c>
      <c r="I1781" s="2" t="s">
        <v>4342</v>
      </c>
      <c r="J1781" s="3" t="str">
        <f>HYPERLINK("https://www.boe.es/gazeta/dias/1818/04/14/pdfs/GMD-1818-45.pdf#page=8","Abrir facsímil")</f>
        <v>Abrir facsímil</v>
      </c>
      <c r="K1781" s="3" t="s">
        <v>38</v>
      </c>
    </row>
    <row r="1782" spans="1:11" ht="42" customHeight="1">
      <c r="A1782" s="2" t="s">
        <v>4343</v>
      </c>
      <c r="B1782" s="2" t="s">
        <v>4344</v>
      </c>
      <c r="C1782" s="2" t="s">
        <v>57</v>
      </c>
      <c r="D1782" s="2" t="s">
        <v>18</v>
      </c>
      <c r="E1782" s="5">
        <v>-29738</v>
      </c>
      <c r="F1782" s="3" t="s">
        <v>263</v>
      </c>
      <c r="G1782" s="3" t="s">
        <v>71</v>
      </c>
      <c r="H1782" s="2" t="s">
        <v>36</v>
      </c>
      <c r="I1782" s="2" t="s">
        <v>4345</v>
      </c>
      <c r="J1782" s="3" t="str">
        <f>HYPERLINK("https://www.boe.es/gazeta/dias/1818/07/30/pdfs/GMD-1818-91.pdf#page=16","Abrir facsímil")</f>
        <v>Abrir facsímil</v>
      </c>
      <c r="K1782" s="3" t="s">
        <v>38</v>
      </c>
    </row>
    <row r="1783" spans="1:11" ht="42" customHeight="1">
      <c r="A1783" s="2" t="s">
        <v>4346</v>
      </c>
      <c r="B1783" s="2" t="s">
        <v>4347</v>
      </c>
      <c r="C1783" s="2" t="s">
        <v>33</v>
      </c>
      <c r="D1783" s="2" t="s">
        <v>18</v>
      </c>
      <c r="E1783" s="5">
        <v>-29892</v>
      </c>
      <c r="F1783" s="3" t="s">
        <v>39</v>
      </c>
      <c r="G1783" s="3" t="s">
        <v>40</v>
      </c>
      <c r="H1783" s="2" t="s">
        <v>36</v>
      </c>
      <c r="I1783" s="2" t="s">
        <v>4348</v>
      </c>
      <c r="J1783" s="3" t="str">
        <f>HYPERLINK("https://www.boe.es/gazeta/dias/1818/02/26/pdfs/GMD-1818-25.pdf#page=8","Abrir facsímil")</f>
        <v>Abrir facsímil</v>
      </c>
      <c r="K1783" s="3" t="s">
        <v>38</v>
      </c>
    </row>
    <row r="1784" spans="1:11" ht="42" customHeight="1">
      <c r="A1784" s="2" t="s">
        <v>4349</v>
      </c>
      <c r="B1784" s="2" t="s">
        <v>4350</v>
      </c>
      <c r="C1784" s="2" t="s">
        <v>26</v>
      </c>
      <c r="D1784" s="2" t="s">
        <v>27</v>
      </c>
      <c r="E1784" s="5">
        <v>-29680</v>
      </c>
      <c r="F1784" s="3" t="s">
        <v>865</v>
      </c>
      <c r="G1784" s="3" t="s">
        <v>45</v>
      </c>
      <c r="H1784" s="2" t="s">
        <v>36</v>
      </c>
      <c r="I1784" s="2" t="s">
        <v>4351</v>
      </c>
      <c r="J1784" s="3" t="str">
        <f>HYPERLINK("https://www.boe.es/gazeta/dias/1818/09/26/pdfs/GMD-1818-116.pdf#page=8","Abrir facsímil")</f>
        <v>Abrir facsímil</v>
      </c>
      <c r="K1784" s="3" t="s">
        <v>38</v>
      </c>
    </row>
    <row r="1785" spans="1:11" ht="42" customHeight="1">
      <c r="A1785" s="2" t="s">
        <v>4352</v>
      </c>
      <c r="B1785" s="2" t="s">
        <v>4353</v>
      </c>
      <c r="C1785" s="2" t="s">
        <v>97</v>
      </c>
      <c r="D1785" s="2" t="s">
        <v>18</v>
      </c>
      <c r="E1785" s="5">
        <v>-29684</v>
      </c>
      <c r="F1785" s="3" t="s">
        <v>311</v>
      </c>
      <c r="G1785" s="3" t="s">
        <v>45</v>
      </c>
      <c r="H1785" s="2" t="s">
        <v>36</v>
      </c>
      <c r="I1785" s="2" t="s">
        <v>4354</v>
      </c>
      <c r="J1785" s="3" t="str">
        <f>HYPERLINK("https://www.boe.es/gazeta/dias/1818/09/22/pdfs/GMD-1818-114.pdf#page=8","Abrir facsímil")</f>
        <v>Abrir facsímil</v>
      </c>
      <c r="K1785" s="3" t="s">
        <v>38</v>
      </c>
    </row>
    <row r="1786" spans="1:11" ht="42" customHeight="1">
      <c r="A1786" s="2" t="s">
        <v>4355</v>
      </c>
      <c r="B1786" s="2" t="s">
        <v>4356</v>
      </c>
      <c r="C1786" s="2" t="s">
        <v>26</v>
      </c>
      <c r="D1786" s="2" t="s">
        <v>27</v>
      </c>
      <c r="E1786" s="5">
        <v>-29918</v>
      </c>
      <c r="F1786" s="3" t="s">
        <v>89</v>
      </c>
      <c r="G1786" s="3" t="s">
        <v>90</v>
      </c>
      <c r="H1786" s="2" t="s">
        <v>36</v>
      </c>
      <c r="I1786" s="2" t="s">
        <v>4357</v>
      </c>
      <c r="J1786" s="3" t="str">
        <f>HYPERLINK("https://www.boe.es/gazeta/dias/1818/01/31/pdfs/GMD-1818-14.pdf#page=10","Abrir facsímil")</f>
        <v>Abrir facsímil</v>
      </c>
      <c r="K1786" s="3" t="s">
        <v>38</v>
      </c>
    </row>
    <row r="1787" spans="1:11" ht="42" customHeight="1">
      <c r="A1787" s="2" t="s">
        <v>4358</v>
      </c>
      <c r="B1787" s="2" t="s">
        <v>4359</v>
      </c>
      <c r="C1787" s="2" t="s">
        <v>63</v>
      </c>
      <c r="D1787" s="2" t="s">
        <v>18</v>
      </c>
      <c r="E1787" s="5">
        <v>-29836</v>
      </c>
      <c r="F1787" s="3" t="s">
        <v>119</v>
      </c>
      <c r="G1787" s="3" t="s">
        <v>59</v>
      </c>
      <c r="H1787" s="2" t="s">
        <v>21</v>
      </c>
      <c r="I1787" s="2" t="s">
        <v>4360</v>
      </c>
      <c r="J1787" s="3" t="str">
        <f>HYPERLINK("https://www.boe.es/gazeta/dias/1818/04/23/pdfs/GMD-1818-49.pdf#page=6","Abrir facsímil")</f>
        <v>Abrir facsímil</v>
      </c>
      <c r="K1787" s="3" t="s">
        <v>23</v>
      </c>
    </row>
    <row r="1788" spans="1:11" ht="42" customHeight="1">
      <c r="A1788" s="2" t="s">
        <v>4361</v>
      </c>
      <c r="B1788" s="2" t="s">
        <v>4362</v>
      </c>
      <c r="C1788" s="2" t="s">
        <v>57</v>
      </c>
      <c r="D1788" s="2" t="s">
        <v>18</v>
      </c>
      <c r="E1788" s="5">
        <v>-29724</v>
      </c>
      <c r="F1788" s="3" t="s">
        <v>370</v>
      </c>
      <c r="G1788" s="3" t="s">
        <v>106</v>
      </c>
      <c r="H1788" s="2" t="s">
        <v>36</v>
      </c>
      <c r="I1788" s="2" t="s">
        <v>4363</v>
      </c>
      <c r="J1788" s="3" t="str">
        <f>HYPERLINK("https://www.boe.es/gazeta/dias/1818/08/13/pdfs/GMD-1818-97.pdf#page=5","Abrir facsímil")</f>
        <v>Abrir facsímil</v>
      </c>
      <c r="K1788" s="3" t="s">
        <v>38</v>
      </c>
    </row>
    <row r="1789" spans="1:11" ht="42" customHeight="1">
      <c r="A1789" s="2" t="s">
        <v>4364</v>
      </c>
      <c r="B1789" s="2" t="s">
        <v>4365</v>
      </c>
      <c r="C1789" s="2" t="s">
        <v>63</v>
      </c>
      <c r="D1789" s="2" t="s">
        <v>18</v>
      </c>
      <c r="E1789" s="5">
        <v>-29771</v>
      </c>
      <c r="F1789" s="3" t="s">
        <v>1260</v>
      </c>
      <c r="G1789" s="3" t="s">
        <v>45</v>
      </c>
      <c r="H1789" s="2" t="s">
        <v>36</v>
      </c>
      <c r="I1789" s="2" t="s">
        <v>4366</v>
      </c>
      <c r="J1789" s="3" t="str">
        <f>HYPERLINK("https://www.boe.es/gazeta/dias/1818/06/27/pdfs/GMD-1818-77.pdf#page=8","Abrir facsímil")</f>
        <v>Abrir facsímil</v>
      </c>
      <c r="K1789" s="3" t="s">
        <v>38</v>
      </c>
    </row>
    <row r="1790" spans="1:11" ht="42" customHeight="1">
      <c r="A1790" s="2" t="s">
        <v>4367</v>
      </c>
      <c r="B1790" s="2" t="s">
        <v>4368</v>
      </c>
      <c r="C1790" s="2" t="s">
        <v>26</v>
      </c>
      <c r="D1790" s="2" t="s">
        <v>27</v>
      </c>
      <c r="E1790" s="5">
        <v>-29796</v>
      </c>
      <c r="F1790" s="3" t="s">
        <v>1359</v>
      </c>
      <c r="G1790" s="3" t="s">
        <v>29</v>
      </c>
      <c r="H1790" s="2" t="s">
        <v>21</v>
      </c>
      <c r="I1790" s="2" t="s">
        <v>4369</v>
      </c>
      <c r="J1790" s="3" t="str">
        <f>HYPERLINK("https://www.boe.es/gazeta/dias/1818/06/02/pdfs/GMD-1818-66.pdf#page=4","Abrir facsímil")</f>
        <v>Abrir facsímil</v>
      </c>
      <c r="K1790" s="3" t="s">
        <v>23</v>
      </c>
    </row>
    <row r="1791" spans="1:11" ht="42" customHeight="1">
      <c r="A1791" s="2" t="s">
        <v>4370</v>
      </c>
      <c r="B1791" s="2" t="s">
        <v>4371</v>
      </c>
      <c r="C1791" s="2" t="s">
        <v>17</v>
      </c>
      <c r="D1791" s="2" t="s">
        <v>18</v>
      </c>
      <c r="E1791" s="5">
        <v>-29757</v>
      </c>
      <c r="F1791" s="3" t="s">
        <v>115</v>
      </c>
      <c r="G1791" s="3" t="s">
        <v>59</v>
      </c>
      <c r="H1791" s="2" t="s">
        <v>36</v>
      </c>
      <c r="I1791" s="2" t="s">
        <v>4372</v>
      </c>
      <c r="J1791" s="3" t="str">
        <f>HYPERLINK("https://www.boe.es/gazeta/dias/1818/07/11/pdfs/GMD-1818-83.pdf#page=6","Abrir facsímil")</f>
        <v>Abrir facsímil</v>
      </c>
      <c r="K1791" s="3" t="s">
        <v>38</v>
      </c>
    </row>
    <row r="1792" spans="1:11" ht="42" customHeight="1">
      <c r="A1792" s="2" t="s">
        <v>4373</v>
      </c>
      <c r="B1792" s="2" t="s">
        <v>4373</v>
      </c>
      <c r="C1792" s="2" t="s">
        <v>26</v>
      </c>
      <c r="D1792" s="2" t="s">
        <v>27</v>
      </c>
      <c r="E1792" s="5">
        <v>-29682</v>
      </c>
      <c r="F1792" s="3" t="s">
        <v>170</v>
      </c>
      <c r="G1792" s="3" t="s">
        <v>49</v>
      </c>
      <c r="H1792" s="2" t="s">
        <v>36</v>
      </c>
      <c r="I1792" s="2" t="s">
        <v>4374</v>
      </c>
      <c r="J1792" s="3" t="str">
        <f>HYPERLINK("https://www.boe.es/gazeta/dias/1818/09/24/pdfs/GMD-1818-115.pdf#page=1","Abrir facsímil")</f>
        <v>Abrir facsímil</v>
      </c>
      <c r="K1792" s="3" t="s">
        <v>38</v>
      </c>
    </row>
    <row r="1793" spans="1:11" ht="42" customHeight="1">
      <c r="A1793" s="2" t="s">
        <v>4375</v>
      </c>
      <c r="B1793" s="2" t="s">
        <v>4376</v>
      </c>
      <c r="C1793" s="2" t="s">
        <v>26</v>
      </c>
      <c r="D1793" s="2" t="s">
        <v>27</v>
      </c>
      <c r="E1793" s="5">
        <v>-29827</v>
      </c>
      <c r="F1793" s="3" t="s">
        <v>280</v>
      </c>
      <c r="G1793" s="3" t="s">
        <v>20</v>
      </c>
      <c r="H1793" s="2" t="s">
        <v>36</v>
      </c>
      <c r="I1793" s="2" t="s">
        <v>4377</v>
      </c>
      <c r="J1793" s="3" t="str">
        <f>HYPERLINK("https://www.boe.es/gazeta/dias/1818/05/02/pdfs/GMD-1818-53.pdf#page=7","Abrir facsímil")</f>
        <v>Abrir facsímil</v>
      </c>
      <c r="K1793" s="3" t="s">
        <v>38</v>
      </c>
    </row>
    <row r="1794" spans="1:11" ht="42" customHeight="1">
      <c r="A1794" s="2" t="s">
        <v>4378</v>
      </c>
      <c r="B1794" s="2" t="s">
        <v>4379</v>
      </c>
      <c r="C1794" s="2" t="s">
        <v>17</v>
      </c>
      <c r="D1794" s="2" t="s">
        <v>18</v>
      </c>
      <c r="E1794" s="5">
        <v>-29624</v>
      </c>
      <c r="F1794" s="3" t="s">
        <v>131</v>
      </c>
      <c r="G1794" s="3" t="s">
        <v>20</v>
      </c>
      <c r="H1794" s="2" t="s">
        <v>36</v>
      </c>
      <c r="I1794" s="2" t="s">
        <v>4380</v>
      </c>
      <c r="J1794" s="3" t="str">
        <f>HYPERLINK("https://www.boe.es/gazeta/dias/1818/11/21/pdfs/GMD-1818-141.pdf#page=7","Abrir facsímil")</f>
        <v>Abrir facsímil</v>
      </c>
      <c r="K1794" s="3" t="s">
        <v>38</v>
      </c>
    </row>
    <row r="1795" spans="1:11" ht="42" customHeight="1">
      <c r="A1795" s="2" t="s">
        <v>4381</v>
      </c>
      <c r="B1795" s="2" t="s">
        <v>4382</v>
      </c>
      <c r="C1795" s="2" t="s">
        <v>26</v>
      </c>
      <c r="D1795" s="2" t="s">
        <v>27</v>
      </c>
      <c r="E1795" s="5">
        <v>-29883</v>
      </c>
      <c r="F1795" s="3" t="s">
        <v>823</v>
      </c>
      <c r="G1795" s="3" t="s">
        <v>106</v>
      </c>
      <c r="H1795" s="2" t="s">
        <v>36</v>
      </c>
      <c r="I1795" s="2" t="s">
        <v>4383</v>
      </c>
      <c r="J1795" s="3" t="str">
        <f>HYPERLINK("https://www.boe.es/gazeta/dias/1818/03/07/pdfs/GMD-1818-29.pdf#page=5","Abrir facsímil")</f>
        <v>Abrir facsímil</v>
      </c>
      <c r="K1795" s="3" t="s">
        <v>38</v>
      </c>
    </row>
    <row r="1796" spans="1:11" ht="42" customHeight="1">
      <c r="A1796" s="2" t="s">
        <v>4384</v>
      </c>
      <c r="B1796" s="2" t="s">
        <v>4385</v>
      </c>
      <c r="C1796" s="2" t="s">
        <v>17</v>
      </c>
      <c r="D1796" s="2" t="s">
        <v>18</v>
      </c>
      <c r="E1796" s="5">
        <v>-29698</v>
      </c>
      <c r="F1796" s="3" t="s">
        <v>148</v>
      </c>
      <c r="G1796" s="3" t="s">
        <v>29</v>
      </c>
      <c r="H1796" s="2" t="s">
        <v>36</v>
      </c>
      <c r="I1796" s="2" t="s">
        <v>4386</v>
      </c>
      <c r="J1796" s="3" t="str">
        <f>HYPERLINK("https://www.boe.es/gazeta/dias/1818/09/08/pdfs/GMD-1818-108.pdf#page=4","Abrir facsímil")</f>
        <v>Abrir facsímil</v>
      </c>
      <c r="K1796" s="3" t="s">
        <v>38</v>
      </c>
    </row>
    <row r="1797" spans="1:11" ht="42" customHeight="1">
      <c r="A1797" s="2" t="s">
        <v>4387</v>
      </c>
      <c r="B1797" s="2" t="s">
        <v>4388</v>
      </c>
      <c r="C1797" s="2" t="s">
        <v>26</v>
      </c>
      <c r="D1797" s="2" t="s">
        <v>27</v>
      </c>
      <c r="E1797" s="5">
        <v>-29698</v>
      </c>
      <c r="F1797" s="3" t="s">
        <v>148</v>
      </c>
      <c r="G1797" s="3" t="s">
        <v>29</v>
      </c>
      <c r="H1797" s="2" t="s">
        <v>36</v>
      </c>
      <c r="I1797" s="2" t="s">
        <v>4389</v>
      </c>
      <c r="J1797" s="3" t="str">
        <f>HYPERLINK("https://www.boe.es/gazeta/dias/1818/09/08/pdfs/GMD-1818-108.pdf#page=4","Abrir facsímil")</f>
        <v>Abrir facsímil</v>
      </c>
      <c r="K1797" s="3" t="s">
        <v>38</v>
      </c>
    </row>
    <row r="1798" spans="1:11" ht="42" customHeight="1">
      <c r="A1798" s="2" t="s">
        <v>4390</v>
      </c>
      <c r="B1798" s="2" t="s">
        <v>4391</v>
      </c>
      <c r="C1798" s="2" t="s">
        <v>26</v>
      </c>
      <c r="D1798" s="2" t="s">
        <v>27</v>
      </c>
      <c r="E1798" s="5">
        <v>-29948</v>
      </c>
      <c r="F1798" s="3" t="s">
        <v>199</v>
      </c>
      <c r="G1798" s="3" t="s">
        <v>45</v>
      </c>
      <c r="H1798" s="2" t="s">
        <v>36</v>
      </c>
      <c r="I1798" s="2" t="s">
        <v>4392</v>
      </c>
      <c r="J1798" s="3" t="str">
        <f>HYPERLINK("https://www.boe.es/gazeta/dias/1818/01/01/pdfs/GMD-1818-1.pdf#page=8","Abrir facsímil")</f>
        <v>Abrir facsímil</v>
      </c>
      <c r="K1798" s="3" t="s">
        <v>38</v>
      </c>
    </row>
    <row r="1799" spans="1:11" ht="42" customHeight="1">
      <c r="A1799" s="2" t="s">
        <v>4393</v>
      </c>
      <c r="B1799" s="2" t="s">
        <v>4394</v>
      </c>
      <c r="C1799" s="2" t="s">
        <v>63</v>
      </c>
      <c r="D1799" s="2" t="s">
        <v>18</v>
      </c>
      <c r="E1799" s="5">
        <v>-29670</v>
      </c>
      <c r="F1799" s="3" t="s">
        <v>48</v>
      </c>
      <c r="G1799" s="3" t="s">
        <v>45</v>
      </c>
      <c r="H1799" s="2" t="s">
        <v>36</v>
      </c>
      <c r="I1799" s="2" t="s">
        <v>4395</v>
      </c>
      <c r="J1799" s="3" t="str">
        <f>HYPERLINK("https://www.boe.es/gazeta/dias/1818/10/06/pdfs/GMD-1818-120.pdf#page=8","Abrir facsímil")</f>
        <v>Abrir facsímil</v>
      </c>
      <c r="K1799" s="3" t="s">
        <v>38</v>
      </c>
    </row>
    <row r="1800" spans="1:11" ht="42" customHeight="1">
      <c r="A1800" s="2" t="s">
        <v>4393</v>
      </c>
      <c r="B1800" s="2" t="s">
        <v>4394</v>
      </c>
      <c r="C1800" s="2" t="s">
        <v>57</v>
      </c>
      <c r="D1800" s="2" t="s">
        <v>18</v>
      </c>
      <c r="E1800" s="5">
        <v>-29642</v>
      </c>
      <c r="F1800" s="3" t="s">
        <v>248</v>
      </c>
      <c r="G1800" s="3" t="s">
        <v>249</v>
      </c>
      <c r="H1800" s="2" t="s">
        <v>36</v>
      </c>
      <c r="I1800" s="2" t="s">
        <v>4396</v>
      </c>
      <c r="J1800" s="3" t="str">
        <f>HYPERLINK("https://www.boe.es/gazeta/dias/1818/11/03/pdfs/GMD-1818-133.pdf#page=8","Abrir facsímil")</f>
        <v>Abrir facsímil</v>
      </c>
      <c r="K1800" s="3" t="s">
        <v>38</v>
      </c>
    </row>
    <row r="1801" spans="1:11" ht="42" customHeight="1">
      <c r="A1801" s="2" t="s">
        <v>4397</v>
      </c>
      <c r="B1801" s="2" t="s">
        <v>4397</v>
      </c>
      <c r="C1801" s="2" t="s">
        <v>68</v>
      </c>
      <c r="D1801" s="2" t="s">
        <v>69</v>
      </c>
      <c r="E1801" s="5">
        <v>-29612</v>
      </c>
      <c r="F1801" s="3" t="s">
        <v>1765</v>
      </c>
      <c r="G1801" s="3" t="s">
        <v>120</v>
      </c>
      <c r="H1801" s="2" t="s">
        <v>36</v>
      </c>
      <c r="I1801" s="2" t="s">
        <v>4398</v>
      </c>
      <c r="J1801" s="3" t="str">
        <f>HYPERLINK("https://www.boe.es/gazeta/dias/1818/12/03/pdfs/GMD-1818-146.pdf#page=2","Abrir facsímil")</f>
        <v>Abrir facsímil</v>
      </c>
      <c r="K1801" s="3" t="s">
        <v>38</v>
      </c>
    </row>
    <row r="1802" spans="1:11" ht="42" customHeight="1">
      <c r="A1802" s="2" t="s">
        <v>4399</v>
      </c>
      <c r="B1802" s="2" t="s">
        <v>4399</v>
      </c>
      <c r="C1802" s="2" t="s">
        <v>26</v>
      </c>
      <c r="D1802" s="2" t="s">
        <v>27</v>
      </c>
      <c r="E1802" s="5">
        <v>-29836</v>
      </c>
      <c r="F1802" s="3" t="s">
        <v>119</v>
      </c>
      <c r="G1802" s="3" t="s">
        <v>120</v>
      </c>
      <c r="H1802" s="2" t="s">
        <v>36</v>
      </c>
      <c r="I1802" s="2" t="s">
        <v>4400</v>
      </c>
      <c r="J1802" s="3" t="str">
        <f>HYPERLINK("https://www.boe.es/gazeta/dias/1818/04/23/pdfs/GMD-1818-49.pdf#page=2","Abrir facsímil")</f>
        <v>Abrir facsímil</v>
      </c>
      <c r="K1802" s="3" t="s">
        <v>38</v>
      </c>
    </row>
    <row r="1803" spans="1:11" ht="42" customHeight="1">
      <c r="A1803" s="2" t="s">
        <v>4401</v>
      </c>
      <c r="B1803" s="2" t="s">
        <v>4402</v>
      </c>
      <c r="C1803" s="2" t="s">
        <v>26</v>
      </c>
      <c r="D1803" s="2" t="s">
        <v>27</v>
      </c>
      <c r="E1803" s="5">
        <v>-29817</v>
      </c>
      <c r="F1803" s="3" t="s">
        <v>284</v>
      </c>
      <c r="G1803" s="3" t="s">
        <v>45</v>
      </c>
      <c r="H1803" s="2" t="s">
        <v>36</v>
      </c>
      <c r="I1803" s="2" t="s">
        <v>4403</v>
      </c>
      <c r="J1803" s="3" t="str">
        <f>HYPERLINK("https://www.boe.es/gazeta/dias/1818/05/12/pdfs/GMD-1818-57.pdf#page=8","Abrir facsímil")</f>
        <v>Abrir facsímil</v>
      </c>
      <c r="K1803" s="3" t="s">
        <v>38</v>
      </c>
    </row>
    <row r="1804" spans="1:11" ht="42" customHeight="1">
      <c r="A1804" s="2" t="s">
        <v>4404</v>
      </c>
      <c r="B1804" s="2" t="s">
        <v>4405</v>
      </c>
      <c r="C1804" s="2" t="s">
        <v>57</v>
      </c>
      <c r="D1804" s="2" t="s">
        <v>18</v>
      </c>
      <c r="E1804" s="5">
        <v>-29878</v>
      </c>
      <c r="F1804" s="3" t="s">
        <v>353</v>
      </c>
      <c r="G1804" s="3" t="s">
        <v>59</v>
      </c>
      <c r="H1804" s="2" t="s">
        <v>21</v>
      </c>
      <c r="I1804" s="2" t="s">
        <v>4406</v>
      </c>
      <c r="J1804" s="3" t="str">
        <f>HYPERLINK("https://www.boe.es/gazeta/dias/1818/03/12/pdfs/GMD-1818-31.pdf#page=6","Abrir facsímil")</f>
        <v>Abrir facsímil</v>
      </c>
      <c r="K1804" s="3" t="s">
        <v>23</v>
      </c>
    </row>
    <row r="1805" spans="1:11" ht="42" customHeight="1">
      <c r="A1805" s="2" t="s">
        <v>4407</v>
      </c>
      <c r="B1805" s="2" t="s">
        <v>4408</v>
      </c>
      <c r="C1805" s="2" t="s">
        <v>17</v>
      </c>
      <c r="D1805" s="2" t="s">
        <v>18</v>
      </c>
      <c r="E1805" s="5">
        <v>-29810</v>
      </c>
      <c r="F1805" s="3" t="s">
        <v>222</v>
      </c>
      <c r="G1805" s="3" t="s">
        <v>3747</v>
      </c>
      <c r="H1805" s="2" t="s">
        <v>21</v>
      </c>
      <c r="I1805" s="2" t="s">
        <v>4409</v>
      </c>
      <c r="J1805" s="3" t="str">
        <f>HYPERLINK("https://www.boe.es/gazeta/dias/1818/05/19/pdfs/GMD-1818-60.pdf#page=5","Abrir facsímil")</f>
        <v>Abrir facsímil</v>
      </c>
      <c r="K1805" s="3" t="s">
        <v>23</v>
      </c>
    </row>
    <row r="1806" spans="1:11" ht="42" customHeight="1">
      <c r="A1806" s="2" t="s">
        <v>4410</v>
      </c>
      <c r="B1806" s="2" t="s">
        <v>4411</v>
      </c>
      <c r="C1806" s="2" t="s">
        <v>26</v>
      </c>
      <c r="D1806" s="2" t="s">
        <v>27</v>
      </c>
      <c r="E1806" s="5">
        <v>-29705</v>
      </c>
      <c r="F1806" s="3" t="s">
        <v>680</v>
      </c>
      <c r="G1806" s="3" t="s">
        <v>29</v>
      </c>
      <c r="H1806" s="2" t="s">
        <v>36</v>
      </c>
      <c r="I1806" s="2" t="s">
        <v>4412</v>
      </c>
      <c r="J1806" s="3" t="str">
        <f>HYPERLINK("https://www.boe.es/gazeta/dias/1818/09/01/pdfs/GMD-1818-105.pdf#page=4","Abrir facsímil")</f>
        <v>Abrir facsímil</v>
      </c>
      <c r="K1806" s="3" t="s">
        <v>38</v>
      </c>
    </row>
    <row r="1807" spans="1:11" ht="42" customHeight="1">
      <c r="A1807" s="2" t="s">
        <v>4413</v>
      </c>
      <c r="B1807" s="2" t="s">
        <v>4414</v>
      </c>
      <c r="C1807" s="2" t="s">
        <v>26</v>
      </c>
      <c r="D1807" s="2" t="s">
        <v>27</v>
      </c>
      <c r="E1807" s="5">
        <v>-29799</v>
      </c>
      <c r="F1807" s="3" t="s">
        <v>135</v>
      </c>
      <c r="G1807" s="3" t="s">
        <v>59</v>
      </c>
      <c r="H1807" s="2" t="s">
        <v>36</v>
      </c>
      <c r="I1807" s="2" t="s">
        <v>4415</v>
      </c>
      <c r="J1807" s="3" t="str">
        <f>HYPERLINK("https://www.boe.es/gazeta/dias/1818/05/30/pdfs/GMD-1818-65.pdf#page=6","Abrir facsímil")</f>
        <v>Abrir facsímil</v>
      </c>
      <c r="K1807" s="3" t="s">
        <v>38</v>
      </c>
    </row>
    <row r="1808" spans="1:11" ht="42" customHeight="1">
      <c r="A1808" s="2" t="s">
        <v>4416</v>
      </c>
      <c r="B1808" s="2" t="s">
        <v>4417</v>
      </c>
      <c r="C1808" s="2" t="s">
        <v>26</v>
      </c>
      <c r="D1808" s="2" t="s">
        <v>27</v>
      </c>
      <c r="E1808" s="5">
        <v>-29659</v>
      </c>
      <c r="F1808" s="3" t="s">
        <v>1690</v>
      </c>
      <c r="G1808" s="3" t="s">
        <v>1691</v>
      </c>
      <c r="H1808" s="2" t="s">
        <v>36</v>
      </c>
      <c r="I1808" s="2" t="s">
        <v>4418</v>
      </c>
      <c r="J1808" s="3" t="str">
        <f>HYPERLINK("https://www.boe.es/gazeta/dias/1818/10/17/pdfs/GMD-1818-126.pdf#page=8","Abrir facsímil")</f>
        <v>Abrir facsímil</v>
      </c>
      <c r="K1808" s="3" t="s">
        <v>38</v>
      </c>
    </row>
    <row r="1809" spans="1:11" ht="42" customHeight="1">
      <c r="A1809" s="2" t="s">
        <v>4416</v>
      </c>
      <c r="B1809" s="2" t="s">
        <v>4417</v>
      </c>
      <c r="C1809" s="2" t="s">
        <v>68</v>
      </c>
      <c r="D1809" s="2" t="s">
        <v>69</v>
      </c>
      <c r="E1809" s="5">
        <v>-29654</v>
      </c>
      <c r="F1809" s="3" t="s">
        <v>219</v>
      </c>
      <c r="G1809" s="3" t="s">
        <v>45</v>
      </c>
      <c r="H1809" s="2" t="s">
        <v>36</v>
      </c>
      <c r="I1809" s="2" t="s">
        <v>4419</v>
      </c>
      <c r="J1809" s="3" t="str">
        <f>HYPERLINK("https://www.boe.es/gazeta/dias/1818/10/22/pdfs/GMD-1818-128.pdf#page=8","Abrir facsímil")</f>
        <v>Abrir facsímil</v>
      </c>
      <c r="K1809" s="3" t="s">
        <v>38</v>
      </c>
    </row>
    <row r="1810" spans="1:11" ht="42" customHeight="1">
      <c r="A1810" s="2" t="s">
        <v>4416</v>
      </c>
      <c r="B1810" s="2" t="s">
        <v>4417</v>
      </c>
      <c r="C1810" s="2" t="s">
        <v>68</v>
      </c>
      <c r="D1810" s="2" t="s">
        <v>69</v>
      </c>
      <c r="E1810" s="5">
        <v>-29607</v>
      </c>
      <c r="F1810" s="3" t="s">
        <v>704</v>
      </c>
      <c r="G1810" s="3" t="s">
        <v>2289</v>
      </c>
      <c r="H1810" s="2" t="s">
        <v>36</v>
      </c>
      <c r="I1810" s="2" t="s">
        <v>4420</v>
      </c>
      <c r="J1810" s="3" t="str">
        <f>HYPERLINK("https://www.boe.es/gazeta/dias/1818/12/08/pdfs/GMD-1818-148.pdf#page=8","Abrir facsímil")</f>
        <v>Abrir facsímil</v>
      </c>
      <c r="K1810" s="3" t="s">
        <v>38</v>
      </c>
    </row>
    <row r="1811" spans="1:11" ht="42" customHeight="1">
      <c r="A1811" s="2" t="s">
        <v>4421</v>
      </c>
      <c r="B1811" s="2" t="s">
        <v>4422</v>
      </c>
      <c r="C1811" s="2" t="s">
        <v>57</v>
      </c>
      <c r="D1811" s="2" t="s">
        <v>18</v>
      </c>
      <c r="E1811" s="5">
        <v>-29626</v>
      </c>
      <c r="F1811" s="3" t="s">
        <v>496</v>
      </c>
      <c r="G1811" s="3" t="s">
        <v>45</v>
      </c>
      <c r="H1811" s="2" t="s">
        <v>21</v>
      </c>
      <c r="I1811" s="2" t="s">
        <v>4423</v>
      </c>
      <c r="J1811" s="3" t="str">
        <f>HYPERLINK("https://www.boe.es/gazeta/dias/1818/11/19/pdfs/GMD-1818-140.pdf#page=8","Abrir facsímil")</f>
        <v>Abrir facsímil</v>
      </c>
      <c r="K1811" s="3" t="s">
        <v>23</v>
      </c>
    </row>
    <row r="1812" spans="1:11" ht="42" customHeight="1">
      <c r="A1812" s="2" t="s">
        <v>4424</v>
      </c>
      <c r="B1812" s="2" t="s">
        <v>4425</v>
      </c>
      <c r="C1812" s="2" t="s">
        <v>68</v>
      </c>
      <c r="D1812" s="2" t="s">
        <v>69</v>
      </c>
      <c r="E1812" s="5">
        <v>-29927</v>
      </c>
      <c r="F1812" s="3" t="s">
        <v>1381</v>
      </c>
      <c r="G1812" s="3" t="s">
        <v>45</v>
      </c>
      <c r="H1812" s="2" t="s">
        <v>36</v>
      </c>
      <c r="I1812" s="2" t="s">
        <v>4426</v>
      </c>
      <c r="J1812" s="3" t="str">
        <f>HYPERLINK("https://www.boe.es/gazeta/dias/1818/01/22/pdfs/GMD-1818-10.pdf#page=8","Abrir facsímil")</f>
        <v>Abrir facsímil</v>
      </c>
      <c r="K1812" s="3" t="s">
        <v>38</v>
      </c>
    </row>
    <row r="1813" spans="1:11" ht="42" customHeight="1">
      <c r="A1813" s="2" t="s">
        <v>4427</v>
      </c>
      <c r="B1813" s="2" t="s">
        <v>4428</v>
      </c>
      <c r="C1813" s="2" t="s">
        <v>26</v>
      </c>
      <c r="D1813" s="2" t="s">
        <v>27</v>
      </c>
      <c r="E1813" s="5">
        <v>-29703</v>
      </c>
      <c r="F1813" s="3" t="s">
        <v>294</v>
      </c>
      <c r="G1813" s="3" t="s">
        <v>295</v>
      </c>
      <c r="H1813" s="2" t="s">
        <v>36</v>
      </c>
      <c r="I1813" s="2" t="s">
        <v>4429</v>
      </c>
      <c r="J1813" s="3" t="str">
        <f>HYPERLINK("https://www.boe.es/gazeta/dias/1818/09/03/pdfs/GMD-1818-106.pdf#page=5","Abrir facsímil")</f>
        <v>Abrir facsímil</v>
      </c>
      <c r="K1813" s="3" t="s">
        <v>38</v>
      </c>
    </row>
    <row r="1814" spans="1:11" ht="42" customHeight="1">
      <c r="A1814" s="2" t="s">
        <v>4430</v>
      </c>
      <c r="B1814" s="2" t="s">
        <v>4431</v>
      </c>
      <c r="C1814" s="2" t="s">
        <v>26</v>
      </c>
      <c r="D1814" s="2" t="s">
        <v>27</v>
      </c>
      <c r="E1814" s="5">
        <v>-29913</v>
      </c>
      <c r="F1814" s="3" t="s">
        <v>449</v>
      </c>
      <c r="G1814" s="3" t="s">
        <v>45</v>
      </c>
      <c r="H1814" s="2" t="s">
        <v>36</v>
      </c>
      <c r="I1814" s="2" t="s">
        <v>4432</v>
      </c>
      <c r="J1814" s="3" t="str">
        <f>HYPERLINK("https://www.boe.es/gazeta/dias/1818/02/05/pdfs/GMD-1818-16.pdf#page=8","Abrir facsímil")</f>
        <v>Abrir facsímil</v>
      </c>
      <c r="K1814" s="3" t="s">
        <v>38</v>
      </c>
    </row>
    <row r="1815" spans="1:11" ht="42" customHeight="1">
      <c r="A1815" s="2" t="s">
        <v>4433</v>
      </c>
      <c r="B1815" s="2" t="s">
        <v>4434</v>
      </c>
      <c r="C1815" s="2" t="s">
        <v>63</v>
      </c>
      <c r="D1815" s="2" t="s">
        <v>18</v>
      </c>
      <c r="E1815" s="5">
        <v>-29890</v>
      </c>
      <c r="F1815" s="3" t="s">
        <v>393</v>
      </c>
      <c r="G1815" s="3" t="s">
        <v>4435</v>
      </c>
      <c r="H1815" s="2" t="s">
        <v>36</v>
      </c>
      <c r="I1815" s="2" t="s">
        <v>4436</v>
      </c>
      <c r="J1815" s="3" t="str">
        <f>HYPERLINK("https://www.boe.es/gazeta/dias/1818/02/28/pdfs/GMD-1818-26.pdf#page=4","Abrir facsímil")</f>
        <v>Abrir facsímil</v>
      </c>
      <c r="K1815" s="3" t="s">
        <v>38</v>
      </c>
    </row>
    <row r="1816" spans="1:11" ht="42" customHeight="1">
      <c r="A1816" s="2" t="s">
        <v>4433</v>
      </c>
      <c r="B1816" s="2" t="s">
        <v>4434</v>
      </c>
      <c r="C1816" s="2" t="s">
        <v>26</v>
      </c>
      <c r="D1816" s="2" t="s">
        <v>27</v>
      </c>
      <c r="E1816" s="5">
        <v>-29890</v>
      </c>
      <c r="F1816" s="3" t="s">
        <v>393</v>
      </c>
      <c r="G1816" s="3" t="s">
        <v>1096</v>
      </c>
      <c r="H1816" s="2" t="s">
        <v>36</v>
      </c>
      <c r="I1816" s="2" t="s">
        <v>4437</v>
      </c>
      <c r="J1816" s="3" t="str">
        <f>HYPERLINK("https://www.boe.es/gazeta/dias/1818/02/28/pdfs/GMD-1818-26.pdf#page=6","Abrir facsímil")</f>
        <v>Abrir facsímil</v>
      </c>
      <c r="K1816" s="3" t="s">
        <v>38</v>
      </c>
    </row>
    <row r="1817" spans="1:11" ht="42" customHeight="1">
      <c r="A1817" s="2" t="s">
        <v>4433</v>
      </c>
      <c r="B1817" s="2" t="s">
        <v>4434</v>
      </c>
      <c r="C1817" s="2" t="s">
        <v>26</v>
      </c>
      <c r="D1817" s="2" t="s">
        <v>27</v>
      </c>
      <c r="E1817" s="5">
        <v>-29890</v>
      </c>
      <c r="F1817" s="3" t="s">
        <v>393</v>
      </c>
      <c r="G1817" s="3" t="s">
        <v>106</v>
      </c>
      <c r="H1817" s="2" t="s">
        <v>36</v>
      </c>
      <c r="I1817" s="2" t="s">
        <v>4438</v>
      </c>
      <c r="J1817" s="3" t="str">
        <f>HYPERLINK("https://www.boe.es/gazeta/dias/1818/02/28/pdfs/GMD-1818-26.pdf#page=5","Abrir facsímil")</f>
        <v>Abrir facsímil</v>
      </c>
      <c r="K1817" s="3" t="s">
        <v>38</v>
      </c>
    </row>
    <row r="1818" spans="1:11" ht="42" customHeight="1">
      <c r="A1818" s="2" t="s">
        <v>4433</v>
      </c>
      <c r="B1818" s="2" t="s">
        <v>4434</v>
      </c>
      <c r="C1818" s="2" t="s">
        <v>26</v>
      </c>
      <c r="D1818" s="2" t="s">
        <v>27</v>
      </c>
      <c r="E1818" s="5">
        <v>-29883</v>
      </c>
      <c r="F1818" s="3" t="s">
        <v>823</v>
      </c>
      <c r="G1818" s="3" t="s">
        <v>824</v>
      </c>
      <c r="H1818" s="2" t="s">
        <v>36</v>
      </c>
      <c r="I1818" s="2" t="s">
        <v>4439</v>
      </c>
      <c r="J1818" s="3" t="str">
        <f>HYPERLINK("https://www.boe.es/gazeta/dias/1818/03/07/pdfs/GMD-1818-29.pdf#page=4","Abrir facsímil")</f>
        <v>Abrir facsímil</v>
      </c>
      <c r="K1818" s="3" t="s">
        <v>38</v>
      </c>
    </row>
    <row r="1819" spans="1:11" ht="42" customHeight="1">
      <c r="A1819" s="2" t="s">
        <v>4433</v>
      </c>
      <c r="B1819" s="2" t="s">
        <v>4434</v>
      </c>
      <c r="C1819" s="2" t="s">
        <v>26</v>
      </c>
      <c r="D1819" s="2" t="s">
        <v>27</v>
      </c>
      <c r="E1819" s="5">
        <v>-29883</v>
      </c>
      <c r="F1819" s="3" t="s">
        <v>823</v>
      </c>
      <c r="G1819" s="3" t="s">
        <v>106</v>
      </c>
      <c r="H1819" s="2" t="s">
        <v>36</v>
      </c>
      <c r="I1819" s="2" t="s">
        <v>4440</v>
      </c>
      <c r="J1819" s="3" t="str">
        <f>HYPERLINK("https://www.boe.es/gazeta/dias/1818/03/07/pdfs/GMD-1818-29.pdf#page=5","Abrir facsímil")</f>
        <v>Abrir facsímil</v>
      </c>
      <c r="K1819" s="3" t="s">
        <v>38</v>
      </c>
    </row>
    <row r="1820" spans="1:11" ht="42" customHeight="1">
      <c r="A1820" s="2" t="s">
        <v>4433</v>
      </c>
      <c r="B1820" s="2" t="s">
        <v>4434</v>
      </c>
      <c r="C1820" s="2" t="s">
        <v>26</v>
      </c>
      <c r="D1820" s="2" t="s">
        <v>27</v>
      </c>
      <c r="E1820" s="5">
        <v>-29857</v>
      </c>
      <c r="F1820" s="3" t="s">
        <v>831</v>
      </c>
      <c r="G1820" s="3" t="s">
        <v>106</v>
      </c>
      <c r="H1820" s="2" t="s">
        <v>36</v>
      </c>
      <c r="I1820" s="2" t="s">
        <v>4441</v>
      </c>
      <c r="J1820" s="3" t="str">
        <f>HYPERLINK("https://www.boe.es/gazeta/dias/1818/04/02/pdfs/GMD-1818-40.pdf#page=5","Abrir facsímil")</f>
        <v>Abrir facsímil</v>
      </c>
      <c r="K1820" s="3" t="s">
        <v>38</v>
      </c>
    </row>
    <row r="1821" spans="1:11" ht="42" customHeight="1">
      <c r="A1821" s="2" t="s">
        <v>4433</v>
      </c>
      <c r="B1821" s="2" t="s">
        <v>4434</v>
      </c>
      <c r="C1821" s="2" t="s">
        <v>26</v>
      </c>
      <c r="D1821" s="2" t="s">
        <v>27</v>
      </c>
      <c r="E1821" s="5">
        <v>-29857</v>
      </c>
      <c r="F1821" s="3" t="s">
        <v>831</v>
      </c>
      <c r="G1821" s="3" t="s">
        <v>59</v>
      </c>
      <c r="H1821" s="2" t="s">
        <v>36</v>
      </c>
      <c r="I1821" s="2" t="s">
        <v>4442</v>
      </c>
      <c r="J1821" s="3" t="str">
        <f>HYPERLINK("https://www.boe.es/gazeta/dias/1818/04/02/pdfs/GMD-1818-40.pdf#page=6","Abrir facsímil")</f>
        <v>Abrir facsímil</v>
      </c>
      <c r="K1821" s="3" t="s">
        <v>38</v>
      </c>
    </row>
    <row r="1822" spans="1:11" ht="42" customHeight="1">
      <c r="A1822" s="2" t="s">
        <v>4433</v>
      </c>
      <c r="B1822" s="2" t="s">
        <v>4434</v>
      </c>
      <c r="C1822" s="2" t="s">
        <v>26</v>
      </c>
      <c r="D1822" s="2" t="s">
        <v>27</v>
      </c>
      <c r="E1822" s="5">
        <v>-29855</v>
      </c>
      <c r="F1822" s="3" t="s">
        <v>676</v>
      </c>
      <c r="G1822" s="3" t="s">
        <v>106</v>
      </c>
      <c r="H1822" s="2" t="s">
        <v>36</v>
      </c>
      <c r="I1822" s="2" t="s">
        <v>4443</v>
      </c>
      <c r="J1822" s="3" t="str">
        <f>HYPERLINK("https://www.boe.es/gazeta/dias/1818/04/04/pdfs/GMD-1818-41.pdf#page=5","Abrir facsímil")</f>
        <v>Abrir facsímil</v>
      </c>
      <c r="K1822" s="3" t="s">
        <v>38</v>
      </c>
    </row>
    <row r="1823" spans="1:11" ht="42" customHeight="1">
      <c r="A1823" s="2" t="s">
        <v>4444</v>
      </c>
      <c r="B1823" s="2" t="s">
        <v>4445</v>
      </c>
      <c r="C1823" s="2" t="s">
        <v>68</v>
      </c>
      <c r="D1823" s="2" t="s">
        <v>69</v>
      </c>
      <c r="E1823" s="5">
        <v>-29799</v>
      </c>
      <c r="F1823" s="3" t="s">
        <v>135</v>
      </c>
      <c r="G1823" s="3" t="s">
        <v>20</v>
      </c>
      <c r="H1823" s="2" t="s">
        <v>36</v>
      </c>
      <c r="I1823" s="2" t="s">
        <v>4446</v>
      </c>
      <c r="J1823" s="3" t="str">
        <f>HYPERLINK("https://www.boe.es/gazeta/dias/1818/05/30/pdfs/GMD-1818-65.pdf#page=7","Abrir facsímil")</f>
        <v>Abrir facsímil</v>
      </c>
      <c r="K1823" s="3" t="s">
        <v>38</v>
      </c>
    </row>
    <row r="1824" spans="1:11" ht="42" customHeight="1">
      <c r="A1824" s="2" t="s">
        <v>4447</v>
      </c>
      <c r="B1824" s="2" t="s">
        <v>4448</v>
      </c>
      <c r="C1824" s="2" t="s">
        <v>26</v>
      </c>
      <c r="D1824" s="2" t="s">
        <v>27</v>
      </c>
      <c r="E1824" s="5">
        <v>-29857</v>
      </c>
      <c r="F1824" s="3" t="s">
        <v>831</v>
      </c>
      <c r="G1824" s="3" t="s">
        <v>29</v>
      </c>
      <c r="H1824" s="2" t="s">
        <v>21</v>
      </c>
      <c r="I1824" s="2" t="s">
        <v>4449</v>
      </c>
      <c r="J1824" s="3" t="str">
        <f>HYPERLINK("https://www.boe.es/gazeta/dias/1818/04/02/pdfs/GMD-1818-40.pdf#page=4","Abrir facsímil")</f>
        <v>Abrir facsímil</v>
      </c>
      <c r="K1824" s="3" t="s">
        <v>23</v>
      </c>
    </row>
    <row r="1825" spans="1:11" ht="42" customHeight="1">
      <c r="A1825" s="2" t="s">
        <v>4450</v>
      </c>
      <c r="B1825" s="2" t="s">
        <v>4451</v>
      </c>
      <c r="C1825" s="2" t="s">
        <v>68</v>
      </c>
      <c r="D1825" s="2" t="s">
        <v>69</v>
      </c>
      <c r="E1825" s="5">
        <v>-29932</v>
      </c>
      <c r="F1825" s="3" t="s">
        <v>34</v>
      </c>
      <c r="G1825" s="3" t="s">
        <v>106</v>
      </c>
      <c r="H1825" s="2" t="s">
        <v>36</v>
      </c>
      <c r="I1825" s="2" t="s">
        <v>4452</v>
      </c>
      <c r="J1825" s="3" t="str">
        <f>HYPERLINK("https://www.boe.es/gazeta/dias/1818/01/17/pdfs/GMD-1818-8.pdf#page=5","Abrir facsímil")</f>
        <v>Abrir facsímil</v>
      </c>
      <c r="K1825" s="3" t="s">
        <v>38</v>
      </c>
    </row>
    <row r="1826" spans="1:11" ht="42" customHeight="1">
      <c r="A1826" s="2" t="s">
        <v>4453</v>
      </c>
      <c r="B1826" s="2" t="s">
        <v>4454</v>
      </c>
      <c r="C1826" s="2" t="s">
        <v>26</v>
      </c>
      <c r="D1826" s="2" t="s">
        <v>27</v>
      </c>
      <c r="E1826" s="5">
        <v>-29936</v>
      </c>
      <c r="F1826" s="3" t="s">
        <v>398</v>
      </c>
      <c r="G1826" s="3" t="s">
        <v>20</v>
      </c>
      <c r="H1826" s="2" t="s">
        <v>36</v>
      </c>
      <c r="I1826" s="2" t="s">
        <v>4455</v>
      </c>
      <c r="J1826" s="3" t="str">
        <f>HYPERLINK("https://www.boe.es/gazeta/dias/1818/01/13/pdfs/GMD-1818-6.pdf#page=7","Abrir facsímil")</f>
        <v>Abrir facsímil</v>
      </c>
      <c r="K1826" s="3" t="s">
        <v>38</v>
      </c>
    </row>
    <row r="1827" spans="1:11" ht="42" customHeight="1">
      <c r="A1827" s="2" t="s">
        <v>4456</v>
      </c>
      <c r="B1827" s="2" t="s">
        <v>4457</v>
      </c>
      <c r="C1827" s="2" t="s">
        <v>26</v>
      </c>
      <c r="D1827" s="2" t="s">
        <v>27</v>
      </c>
      <c r="E1827" s="5">
        <v>-29915</v>
      </c>
      <c r="F1827" s="3" t="s">
        <v>429</v>
      </c>
      <c r="G1827" s="3" t="s">
        <v>1142</v>
      </c>
      <c r="H1827" s="2" t="s">
        <v>36</v>
      </c>
      <c r="I1827" s="2" t="s">
        <v>4458</v>
      </c>
      <c r="J1827" s="3" t="str">
        <f>HYPERLINK("https://www.boe.es/gazeta/dias/1818/02/03/pdfs/GMD-1818-15.pdf#page=6","Abrir facsímil")</f>
        <v>Abrir facsímil</v>
      </c>
      <c r="K1827" s="3" t="s">
        <v>38</v>
      </c>
    </row>
    <row r="1828" spans="1:11" ht="42" customHeight="1">
      <c r="A1828" s="2" t="s">
        <v>4459</v>
      </c>
      <c r="B1828" s="2" t="s">
        <v>4460</v>
      </c>
      <c r="C1828" s="2" t="s">
        <v>17</v>
      </c>
      <c r="D1828" s="2" t="s">
        <v>18</v>
      </c>
      <c r="E1828" s="5">
        <v>-29918</v>
      </c>
      <c r="F1828" s="3" t="s">
        <v>89</v>
      </c>
      <c r="G1828" s="3" t="s">
        <v>111</v>
      </c>
      <c r="H1828" s="2" t="s">
        <v>36</v>
      </c>
      <c r="I1828" s="2" t="s">
        <v>4461</v>
      </c>
      <c r="J1828" s="3" t="str">
        <f>HYPERLINK("https://www.boe.es/gazeta/dias/1818/01/31/pdfs/GMD-1818-14.pdf#page=11","Abrir facsímil")</f>
        <v>Abrir facsímil</v>
      </c>
      <c r="K1828" s="3" t="s">
        <v>38</v>
      </c>
    </row>
    <row r="1829" spans="1:11" ht="42" customHeight="1">
      <c r="A1829" s="2" t="s">
        <v>4462</v>
      </c>
      <c r="B1829" s="2" t="s">
        <v>4463</v>
      </c>
      <c r="C1829" s="2" t="s">
        <v>26</v>
      </c>
      <c r="D1829" s="2" t="s">
        <v>27</v>
      </c>
      <c r="E1829" s="5">
        <v>-29682</v>
      </c>
      <c r="F1829" s="3" t="s">
        <v>170</v>
      </c>
      <c r="G1829" s="3" t="s">
        <v>20</v>
      </c>
      <c r="H1829" s="2" t="s">
        <v>36</v>
      </c>
      <c r="I1829" s="2" t="s">
        <v>4464</v>
      </c>
      <c r="J1829" s="3" t="str">
        <f>HYPERLINK("https://www.boe.es/gazeta/dias/1818/09/24/pdfs/GMD-1818-115.pdf#page=7","Abrir facsímil")</f>
        <v>Abrir facsímil</v>
      </c>
      <c r="K1829" s="3" t="s">
        <v>38</v>
      </c>
    </row>
    <row r="1830" spans="1:11" ht="42" customHeight="1">
      <c r="A1830" s="2" t="s">
        <v>4465</v>
      </c>
      <c r="B1830" s="2" t="s">
        <v>4466</v>
      </c>
      <c r="C1830" s="2" t="s">
        <v>17</v>
      </c>
      <c r="D1830" s="2" t="s">
        <v>18</v>
      </c>
      <c r="E1830" s="5">
        <v>-29698</v>
      </c>
      <c r="F1830" s="3" t="s">
        <v>148</v>
      </c>
      <c r="G1830" s="3" t="s">
        <v>59</v>
      </c>
      <c r="H1830" s="2" t="s">
        <v>36</v>
      </c>
      <c r="I1830" s="2" t="s">
        <v>4467</v>
      </c>
      <c r="J1830" s="3" t="str">
        <f>HYPERLINK("https://www.boe.es/gazeta/dias/1818/09/08/pdfs/GMD-1818-108.pdf#page=6","Abrir facsímil")</f>
        <v>Abrir facsímil</v>
      </c>
      <c r="K1830" s="3" t="s">
        <v>38</v>
      </c>
    </row>
    <row r="1831" spans="1:11" ht="42" customHeight="1">
      <c r="A1831" s="2" t="s">
        <v>4468</v>
      </c>
      <c r="B1831" s="2" t="s">
        <v>4469</v>
      </c>
      <c r="C1831" s="2" t="s">
        <v>68</v>
      </c>
      <c r="D1831" s="2" t="s">
        <v>69</v>
      </c>
      <c r="E1831" s="5">
        <v>-29864</v>
      </c>
      <c r="F1831" s="3" t="s">
        <v>196</v>
      </c>
      <c r="G1831" s="3" t="s">
        <v>106</v>
      </c>
      <c r="H1831" s="2" t="s">
        <v>36</v>
      </c>
      <c r="I1831" s="2" t="s">
        <v>4470</v>
      </c>
      <c r="J1831" s="3" t="str">
        <f>HYPERLINK("https://www.boe.es/gazeta/dias/1818/03/26/pdfs/GMD-1818-37.pdf#page=5","Abrir facsímil")</f>
        <v>Abrir facsímil</v>
      </c>
      <c r="K1831" s="3" t="s">
        <v>38</v>
      </c>
    </row>
    <row r="1832" spans="1:11" ht="42" customHeight="1">
      <c r="A1832" s="2" t="s">
        <v>4471</v>
      </c>
      <c r="B1832" s="2" t="s">
        <v>4472</v>
      </c>
      <c r="C1832" s="2" t="s">
        <v>63</v>
      </c>
      <c r="D1832" s="2" t="s">
        <v>18</v>
      </c>
      <c r="E1832" s="5">
        <v>-29843</v>
      </c>
      <c r="F1832" s="3" t="s">
        <v>182</v>
      </c>
      <c r="G1832" s="3" t="s">
        <v>20</v>
      </c>
      <c r="H1832" s="2" t="s">
        <v>36</v>
      </c>
      <c r="I1832" s="2" t="s">
        <v>4473</v>
      </c>
      <c r="J1832" s="3" t="str">
        <f>HYPERLINK("https://www.boe.es/gazeta/dias/1818/04/16/pdfs/GMD-1818-46.pdf#page=7","Abrir facsímil")</f>
        <v>Abrir facsímil</v>
      </c>
      <c r="K1832" s="3" t="s">
        <v>38</v>
      </c>
    </row>
    <row r="1833" spans="1:11" ht="42" customHeight="1">
      <c r="A1833" s="2" t="s">
        <v>4474</v>
      </c>
      <c r="B1833" s="2" t="s">
        <v>4475</v>
      </c>
      <c r="C1833" s="2" t="s">
        <v>26</v>
      </c>
      <c r="D1833" s="2" t="s">
        <v>27</v>
      </c>
      <c r="E1833" s="5">
        <v>-29666</v>
      </c>
      <c r="F1833" s="3" t="s">
        <v>258</v>
      </c>
      <c r="G1833" s="3" t="s">
        <v>106</v>
      </c>
      <c r="H1833" s="2" t="s">
        <v>36</v>
      </c>
      <c r="I1833" s="2" t="s">
        <v>4476</v>
      </c>
      <c r="J1833" s="3" t="str">
        <f>HYPERLINK("https://www.boe.es/gazeta/dias/1818/10/10/pdfs/GMD-1818-122.pdf#page=5","Abrir facsímil")</f>
        <v>Abrir facsímil</v>
      </c>
      <c r="K1833" s="3" t="s">
        <v>38</v>
      </c>
    </row>
    <row r="1834" spans="1:11" ht="42" customHeight="1">
      <c r="A1834" s="2" t="s">
        <v>4477</v>
      </c>
      <c r="B1834" s="2" t="s">
        <v>4478</v>
      </c>
      <c r="C1834" s="2" t="s">
        <v>68</v>
      </c>
      <c r="D1834" s="2" t="s">
        <v>69</v>
      </c>
      <c r="E1834" s="5">
        <v>-29841</v>
      </c>
      <c r="F1834" s="3" t="s">
        <v>19</v>
      </c>
      <c r="G1834" s="3" t="s">
        <v>45</v>
      </c>
      <c r="H1834" s="2" t="s">
        <v>36</v>
      </c>
      <c r="I1834" s="2" t="s">
        <v>4479</v>
      </c>
      <c r="J1834" s="3" t="str">
        <f>HYPERLINK("https://www.boe.es/gazeta/dias/1818/04/18/pdfs/GMD-1818-47.pdf#page=8","Abrir facsímil")</f>
        <v>Abrir facsímil</v>
      </c>
      <c r="K1834" s="3" t="s">
        <v>38</v>
      </c>
    </row>
    <row r="1835" spans="1:11" ht="42" customHeight="1">
      <c r="A1835" s="2" t="s">
        <v>4480</v>
      </c>
      <c r="B1835" s="2" t="s">
        <v>4481</v>
      </c>
      <c r="C1835" s="2" t="s">
        <v>26</v>
      </c>
      <c r="D1835" s="2" t="s">
        <v>27</v>
      </c>
      <c r="E1835" s="5">
        <v>-29586</v>
      </c>
      <c r="F1835" s="3" t="s">
        <v>683</v>
      </c>
      <c r="G1835" s="3" t="s">
        <v>20</v>
      </c>
      <c r="H1835" s="2" t="s">
        <v>36</v>
      </c>
      <c r="I1835" s="2" t="s">
        <v>4482</v>
      </c>
      <c r="J1835" s="3" t="str">
        <f>HYPERLINK("https://www.boe.es/gazeta/dias/1818/12/29/pdfs/GMD-1818-158.pdf#page=7","Abrir facsímil")</f>
        <v>Abrir facsímil</v>
      </c>
      <c r="K1835" s="3" t="s">
        <v>38</v>
      </c>
    </row>
    <row r="1836" spans="1:11" ht="42" customHeight="1">
      <c r="A1836" s="2" t="s">
        <v>4483</v>
      </c>
      <c r="B1836" s="2" t="s">
        <v>4484</v>
      </c>
      <c r="C1836" s="2" t="s">
        <v>63</v>
      </c>
      <c r="D1836" s="2" t="s">
        <v>18</v>
      </c>
      <c r="E1836" s="5">
        <v>-29605</v>
      </c>
      <c r="F1836" s="3" t="s">
        <v>888</v>
      </c>
      <c r="G1836" s="3" t="s">
        <v>1327</v>
      </c>
      <c r="H1836" s="2" t="s">
        <v>36</v>
      </c>
      <c r="I1836" s="2" t="s">
        <v>4485</v>
      </c>
      <c r="J1836" s="3" t="str">
        <f>HYPERLINK("https://www.boe.es/gazeta/dias/1818/12/10/pdfs/GMD-1818-149.pdf#page=8","Abrir facsímil")</f>
        <v>Abrir facsímil</v>
      </c>
      <c r="K1836" s="3" t="s">
        <v>38</v>
      </c>
    </row>
    <row r="1837" spans="1:11" ht="42" customHeight="1">
      <c r="A1837" s="2" t="s">
        <v>4486</v>
      </c>
      <c r="B1837" s="2" t="s">
        <v>4487</v>
      </c>
      <c r="C1837" s="2" t="s">
        <v>26</v>
      </c>
      <c r="D1837" s="2" t="s">
        <v>27</v>
      </c>
      <c r="E1837" s="5">
        <v>-29719</v>
      </c>
      <c r="F1837" s="3" t="s">
        <v>243</v>
      </c>
      <c r="G1837" s="3" t="s">
        <v>59</v>
      </c>
      <c r="H1837" s="2" t="s">
        <v>36</v>
      </c>
      <c r="I1837" s="2" t="s">
        <v>4488</v>
      </c>
      <c r="J1837" s="3" t="str">
        <f>HYPERLINK("https://www.boe.es/gazeta/dias/1818/08/18/pdfs/GMD-1818-99.pdf#page=6","Abrir facsímil")</f>
        <v>Abrir facsímil</v>
      </c>
      <c r="K1837" s="3" t="s">
        <v>38</v>
      </c>
    </row>
    <row r="1838" spans="1:11" ht="42" customHeight="1">
      <c r="A1838" s="2" t="s">
        <v>4486</v>
      </c>
      <c r="B1838" s="2" t="s">
        <v>4487</v>
      </c>
      <c r="C1838" s="2" t="s">
        <v>63</v>
      </c>
      <c r="D1838" s="2" t="s">
        <v>18</v>
      </c>
      <c r="E1838" s="5">
        <v>-29694</v>
      </c>
      <c r="F1838" s="3" t="s">
        <v>528</v>
      </c>
      <c r="G1838" s="3" t="s">
        <v>45</v>
      </c>
      <c r="H1838" s="2" t="s">
        <v>36</v>
      </c>
      <c r="I1838" s="2" t="s">
        <v>4489</v>
      </c>
      <c r="J1838" s="3" t="str">
        <f>HYPERLINK("https://www.boe.es/gazeta/dias/1818/09/12/pdfs/GMD-1818-110.pdf#page=8","Abrir facsímil")</f>
        <v>Abrir facsímil</v>
      </c>
      <c r="K1838" s="3" t="s">
        <v>38</v>
      </c>
    </row>
    <row r="1839" spans="1:11" ht="42" customHeight="1">
      <c r="A1839" s="2" t="s">
        <v>4490</v>
      </c>
      <c r="B1839" s="2" t="s">
        <v>4491</v>
      </c>
      <c r="C1839" s="2" t="s">
        <v>57</v>
      </c>
      <c r="D1839" s="2" t="s">
        <v>18</v>
      </c>
      <c r="E1839" s="5">
        <v>-29850</v>
      </c>
      <c r="F1839" s="3" t="s">
        <v>1051</v>
      </c>
      <c r="G1839" s="3" t="s">
        <v>106</v>
      </c>
      <c r="H1839" s="2" t="s">
        <v>36</v>
      </c>
      <c r="I1839" s="2" t="s">
        <v>4492</v>
      </c>
      <c r="J1839" s="3" t="str">
        <f>HYPERLINK("https://www.boe.es/gazeta/dias/1818/04/09/pdfs/GMD-1818-43.pdf#page=5","Abrir facsímil")</f>
        <v>Abrir facsímil</v>
      </c>
      <c r="K1839" s="3" t="s">
        <v>38</v>
      </c>
    </row>
    <row r="1840" spans="1:11" ht="42" customHeight="1">
      <c r="A1840" s="2" t="s">
        <v>4493</v>
      </c>
      <c r="B1840" s="2" t="s">
        <v>4494</v>
      </c>
      <c r="C1840" s="2" t="s">
        <v>63</v>
      </c>
      <c r="D1840" s="2" t="s">
        <v>18</v>
      </c>
      <c r="E1840" s="5">
        <v>-29698</v>
      </c>
      <c r="F1840" s="3" t="s">
        <v>148</v>
      </c>
      <c r="G1840" s="3" t="s">
        <v>20</v>
      </c>
      <c r="H1840" s="2" t="s">
        <v>36</v>
      </c>
      <c r="I1840" s="2" t="s">
        <v>4495</v>
      </c>
      <c r="J1840" s="3" t="str">
        <f>HYPERLINK("https://www.boe.es/gazeta/dias/1818/09/08/pdfs/GMD-1818-108.pdf#page=7","Abrir facsímil")</f>
        <v>Abrir facsímil</v>
      </c>
      <c r="K1840" s="3" t="s">
        <v>38</v>
      </c>
    </row>
    <row r="1841" spans="1:11" ht="42" customHeight="1">
      <c r="A1841" s="2" t="s">
        <v>4496</v>
      </c>
      <c r="B1841" s="2" t="s">
        <v>4497</v>
      </c>
      <c r="C1841" s="2" t="s">
        <v>26</v>
      </c>
      <c r="D1841" s="2" t="s">
        <v>27</v>
      </c>
      <c r="E1841" s="5">
        <v>-29607</v>
      </c>
      <c r="F1841" s="3" t="s">
        <v>704</v>
      </c>
      <c r="G1841" s="3" t="s">
        <v>20</v>
      </c>
      <c r="H1841" s="2" t="s">
        <v>36</v>
      </c>
      <c r="I1841" s="2" t="s">
        <v>4498</v>
      </c>
      <c r="J1841" s="3" t="str">
        <f>HYPERLINK("https://www.boe.es/gazeta/dias/1818/12/08/pdfs/GMD-1818-148.pdf#page=7","Abrir facsímil")</f>
        <v>Abrir facsímil</v>
      </c>
      <c r="K1841" s="3" t="s">
        <v>38</v>
      </c>
    </row>
    <row r="1842" spans="1:11" ht="42" customHeight="1">
      <c r="A1842" s="2" t="s">
        <v>4499</v>
      </c>
      <c r="B1842" s="2" t="s">
        <v>4500</v>
      </c>
      <c r="C1842" s="2" t="s">
        <v>26</v>
      </c>
      <c r="D1842" s="2" t="s">
        <v>27</v>
      </c>
      <c r="E1842" s="5">
        <v>-29740</v>
      </c>
      <c r="F1842" s="3" t="s">
        <v>152</v>
      </c>
      <c r="G1842" s="3" t="s">
        <v>20</v>
      </c>
      <c r="H1842" s="2" t="s">
        <v>36</v>
      </c>
      <c r="I1842" s="2" t="s">
        <v>4501</v>
      </c>
      <c r="J1842" s="3" t="str">
        <f>HYPERLINK("https://www.boe.es/gazeta/dias/1818/07/28/pdfs/GMD-1818-90.pdf#page=7","Abrir facsímil")</f>
        <v>Abrir facsímil</v>
      </c>
      <c r="K1842" s="3" t="s">
        <v>38</v>
      </c>
    </row>
    <row r="1843" spans="1:11" ht="42" customHeight="1">
      <c r="A1843" s="2" t="s">
        <v>4502</v>
      </c>
      <c r="B1843" s="2" t="s">
        <v>4503</v>
      </c>
      <c r="C1843" s="2" t="s">
        <v>33</v>
      </c>
      <c r="D1843" s="2" t="s">
        <v>18</v>
      </c>
      <c r="E1843" s="5">
        <v>-29829</v>
      </c>
      <c r="F1843" s="3" t="s">
        <v>44</v>
      </c>
      <c r="G1843" s="3" t="s">
        <v>2271</v>
      </c>
      <c r="H1843" s="2" t="s">
        <v>21</v>
      </c>
      <c r="I1843" s="2" t="s">
        <v>4504</v>
      </c>
      <c r="J1843" s="3" t="str">
        <f>HYPERLINK("https://www.boe.es/gazeta/dias/1818/04/30/pdfs/GMD-1818-52.pdf#page=6","Abrir facsímil")</f>
        <v>Abrir facsímil</v>
      </c>
      <c r="K1843" s="3" t="s">
        <v>23</v>
      </c>
    </row>
    <row r="1844" spans="1:11" ht="42" customHeight="1">
      <c r="A1844" s="2" t="s">
        <v>4505</v>
      </c>
      <c r="B1844" s="2" t="s">
        <v>4506</v>
      </c>
      <c r="C1844" s="2" t="s">
        <v>26</v>
      </c>
      <c r="D1844" s="2" t="s">
        <v>27</v>
      </c>
      <c r="E1844" s="5">
        <v>-29752</v>
      </c>
      <c r="F1844" s="3" t="s">
        <v>165</v>
      </c>
      <c r="G1844" s="3" t="s">
        <v>85</v>
      </c>
      <c r="H1844" s="2" t="s">
        <v>36</v>
      </c>
      <c r="I1844" s="2" t="s">
        <v>4507</v>
      </c>
      <c r="J1844" s="3" t="str">
        <f>HYPERLINK("https://www.boe.es/gazeta/dias/1818/07/16/pdfs/GMD-1818-85.pdf#page=3","Abrir facsímil")</f>
        <v>Abrir facsímil</v>
      </c>
      <c r="K1844" s="3" t="s">
        <v>38</v>
      </c>
    </row>
    <row r="1845" spans="1:11" ht="42" customHeight="1">
      <c r="A1845" s="2" t="s">
        <v>4508</v>
      </c>
      <c r="B1845" s="2" t="s">
        <v>4509</v>
      </c>
      <c r="C1845" s="2" t="s">
        <v>26</v>
      </c>
      <c r="D1845" s="2" t="s">
        <v>27</v>
      </c>
      <c r="E1845" s="5">
        <v>-29897</v>
      </c>
      <c r="F1845" s="3" t="s">
        <v>318</v>
      </c>
      <c r="G1845" s="3" t="s">
        <v>106</v>
      </c>
      <c r="H1845" s="2" t="s">
        <v>36</v>
      </c>
      <c r="I1845" s="2" t="s">
        <v>4510</v>
      </c>
      <c r="J1845" s="3" t="str">
        <f>HYPERLINK("https://www.boe.es/gazeta/dias/1818/02/21/pdfs/GMD-1818-23.pdf#page=5","Abrir facsímil")</f>
        <v>Abrir facsímil</v>
      </c>
      <c r="K1845" s="3" t="s">
        <v>38</v>
      </c>
    </row>
    <row r="1846" spans="1:11" ht="42" customHeight="1">
      <c r="A1846" s="2" t="s">
        <v>4508</v>
      </c>
      <c r="B1846" s="2" t="s">
        <v>4509</v>
      </c>
      <c r="C1846" s="2" t="s">
        <v>26</v>
      </c>
      <c r="D1846" s="2" t="s">
        <v>27</v>
      </c>
      <c r="E1846" s="5">
        <v>-29689</v>
      </c>
      <c r="F1846" s="3" t="s">
        <v>303</v>
      </c>
      <c r="G1846" s="3" t="s">
        <v>45</v>
      </c>
      <c r="H1846" s="2" t="s">
        <v>36</v>
      </c>
      <c r="I1846" s="2" t="s">
        <v>4511</v>
      </c>
      <c r="J1846" s="3" t="str">
        <f>HYPERLINK("https://www.boe.es/gazeta/dias/1818/09/17/pdfs/GMD-1818-112.pdf#page=8","Abrir facsímil")</f>
        <v>Abrir facsímil</v>
      </c>
      <c r="K1846" s="3" t="s">
        <v>38</v>
      </c>
    </row>
    <row r="1847" spans="1:11" ht="42" customHeight="1">
      <c r="A1847" s="2" t="s">
        <v>4512</v>
      </c>
      <c r="B1847" s="2" t="s">
        <v>4513</v>
      </c>
      <c r="C1847" s="2" t="s">
        <v>17</v>
      </c>
      <c r="D1847" s="2" t="s">
        <v>18</v>
      </c>
      <c r="E1847" s="5">
        <v>-29785</v>
      </c>
      <c r="F1847" s="3" t="s">
        <v>1031</v>
      </c>
      <c r="G1847" s="3" t="s">
        <v>59</v>
      </c>
      <c r="H1847" s="2" t="s">
        <v>36</v>
      </c>
      <c r="I1847" s="2" t="s">
        <v>4514</v>
      </c>
      <c r="J1847" s="3" t="str">
        <f>HYPERLINK("https://www.boe.es/gazeta/dias/1818/06/13/pdfs/GMD-1818-71.pdf#page=6","Abrir facsímil")</f>
        <v>Abrir facsímil</v>
      </c>
      <c r="K1847" s="3" t="s">
        <v>38</v>
      </c>
    </row>
    <row r="1848" spans="1:11" ht="42" customHeight="1">
      <c r="A1848" s="2" t="s">
        <v>4515</v>
      </c>
      <c r="B1848" s="2" t="s">
        <v>4516</v>
      </c>
      <c r="C1848" s="2" t="s">
        <v>97</v>
      </c>
      <c r="D1848" s="2" t="s">
        <v>18</v>
      </c>
      <c r="E1848" s="5">
        <v>-29661</v>
      </c>
      <c r="F1848" s="3" t="s">
        <v>348</v>
      </c>
      <c r="G1848" s="3" t="s">
        <v>2464</v>
      </c>
      <c r="H1848" s="2" t="s">
        <v>36</v>
      </c>
      <c r="I1848" s="2" t="s">
        <v>4517</v>
      </c>
      <c r="J1848" s="3" t="str">
        <f>HYPERLINK("https://www.boe.es/gazeta/dias/1818/10/15/pdfs/GMD-1818-124.pdf#page=6","Abrir facsímil")</f>
        <v>Abrir facsímil</v>
      </c>
      <c r="K1848" s="3" t="s">
        <v>38</v>
      </c>
    </row>
    <row r="1849" spans="1:11" ht="42" customHeight="1">
      <c r="A1849" s="2" t="s">
        <v>4518</v>
      </c>
      <c r="B1849" s="2" t="s">
        <v>4519</v>
      </c>
      <c r="C1849" s="2" t="s">
        <v>26</v>
      </c>
      <c r="D1849" s="2" t="s">
        <v>27</v>
      </c>
      <c r="E1849" s="5">
        <v>-29934</v>
      </c>
      <c r="F1849" s="3" t="s">
        <v>53</v>
      </c>
      <c r="G1849" s="3" t="s">
        <v>59</v>
      </c>
      <c r="H1849" s="2" t="s">
        <v>36</v>
      </c>
      <c r="I1849" s="2" t="s">
        <v>4520</v>
      </c>
      <c r="J1849" s="3" t="str">
        <f>HYPERLINK("https://www.boe.es/gazeta/dias/1818/01/15/pdfs/GMD-1818-7.pdf#page=6","Abrir facsímil")</f>
        <v>Abrir facsímil</v>
      </c>
      <c r="K1849" s="3" t="s">
        <v>38</v>
      </c>
    </row>
    <row r="1850" spans="1:11" ht="42" customHeight="1">
      <c r="A1850" s="2" t="s">
        <v>4521</v>
      </c>
      <c r="B1850" s="2" t="s">
        <v>4522</v>
      </c>
      <c r="C1850" s="2" t="s">
        <v>26</v>
      </c>
      <c r="D1850" s="2" t="s">
        <v>27</v>
      </c>
      <c r="E1850" s="5">
        <v>-29738</v>
      </c>
      <c r="F1850" s="3" t="s">
        <v>263</v>
      </c>
      <c r="G1850" s="3" t="s">
        <v>45</v>
      </c>
      <c r="H1850" s="2" t="s">
        <v>21</v>
      </c>
      <c r="I1850" s="2" t="s">
        <v>4523</v>
      </c>
      <c r="J1850" s="3" t="str">
        <f>HYPERLINK("https://www.boe.es/gazeta/dias/1818/07/30/pdfs/GMD-1818-91.pdf#page=8","Abrir facsímil")</f>
        <v>Abrir facsímil</v>
      </c>
      <c r="K1850" s="3" t="s">
        <v>23</v>
      </c>
    </row>
    <row r="1851" spans="1:11" ht="42" customHeight="1">
      <c r="A1851" s="2" t="s">
        <v>4524</v>
      </c>
      <c r="B1851" s="2" t="s">
        <v>4525</v>
      </c>
      <c r="C1851" s="2" t="s">
        <v>17</v>
      </c>
      <c r="D1851" s="2" t="s">
        <v>18</v>
      </c>
      <c r="E1851" s="5">
        <v>-29675</v>
      </c>
      <c r="F1851" s="3" t="s">
        <v>2314</v>
      </c>
      <c r="G1851" s="3" t="s">
        <v>45</v>
      </c>
      <c r="H1851" s="2" t="s">
        <v>36</v>
      </c>
      <c r="I1851" s="2" t="s">
        <v>4526</v>
      </c>
      <c r="J1851" s="3" t="str">
        <f>HYPERLINK("https://www.boe.es/gazeta/dias/1818/10/01/pdfs/GMD-1818-118.pdf#page=8","Abrir facsímil")</f>
        <v>Abrir facsímil</v>
      </c>
      <c r="K1851" s="3" t="s">
        <v>38</v>
      </c>
    </row>
    <row r="1852" spans="1:11" ht="42" customHeight="1">
      <c r="A1852" s="2" t="s">
        <v>4527</v>
      </c>
      <c r="B1852" s="2" t="s">
        <v>4528</v>
      </c>
      <c r="C1852" s="2" t="s">
        <v>26</v>
      </c>
      <c r="D1852" s="2" t="s">
        <v>27</v>
      </c>
      <c r="E1852" s="5">
        <v>-29934</v>
      </c>
      <c r="F1852" s="3" t="s">
        <v>53</v>
      </c>
      <c r="G1852" s="3" t="s">
        <v>59</v>
      </c>
      <c r="H1852" s="2" t="s">
        <v>36</v>
      </c>
      <c r="I1852" s="2" t="s">
        <v>4529</v>
      </c>
      <c r="J1852" s="3" t="str">
        <f>HYPERLINK("https://www.boe.es/gazeta/dias/1818/01/15/pdfs/GMD-1818-7.pdf#page=6","Abrir facsímil")</f>
        <v>Abrir facsímil</v>
      </c>
      <c r="K1852" s="3" t="s">
        <v>38</v>
      </c>
    </row>
    <row r="1853" spans="1:11" ht="42" customHeight="1">
      <c r="A1853" s="2" t="s">
        <v>4530</v>
      </c>
      <c r="B1853" s="2" t="s">
        <v>4531</v>
      </c>
      <c r="C1853" s="2" t="s">
        <v>17</v>
      </c>
      <c r="D1853" s="2" t="s">
        <v>18</v>
      </c>
      <c r="E1853" s="5">
        <v>-29946</v>
      </c>
      <c r="F1853" s="3" t="s">
        <v>724</v>
      </c>
      <c r="G1853" s="3" t="s">
        <v>20</v>
      </c>
      <c r="H1853" s="2" t="s">
        <v>36</v>
      </c>
      <c r="I1853" s="2" t="s">
        <v>4532</v>
      </c>
      <c r="J1853" s="3" t="str">
        <f>HYPERLINK("https://www.boe.es/gazeta/dias/1818/01/03/pdfs/GMD-1818-2.pdf#page=7","Abrir facsímil")</f>
        <v>Abrir facsímil</v>
      </c>
      <c r="K1853" s="3" t="s">
        <v>38</v>
      </c>
    </row>
    <row r="1854" spans="1:11" ht="42" customHeight="1">
      <c r="A1854" s="2" t="s">
        <v>4533</v>
      </c>
      <c r="B1854" s="2" t="s">
        <v>4534</v>
      </c>
      <c r="C1854" s="2" t="s">
        <v>68</v>
      </c>
      <c r="D1854" s="2" t="s">
        <v>69</v>
      </c>
      <c r="E1854" s="5">
        <v>-29848</v>
      </c>
      <c r="F1854" s="3" t="s">
        <v>571</v>
      </c>
      <c r="G1854" s="3" t="s">
        <v>45</v>
      </c>
      <c r="H1854" s="2" t="s">
        <v>36</v>
      </c>
      <c r="I1854" s="2" t="s">
        <v>4535</v>
      </c>
      <c r="J1854" s="3" t="str">
        <f>HYPERLINK("https://www.boe.es/gazeta/dias/1818/04/11/pdfs/GMD-1818-44.pdf#page=8","Abrir facsímil")</f>
        <v>Abrir facsímil</v>
      </c>
      <c r="K1854" s="3" t="s">
        <v>38</v>
      </c>
    </row>
    <row r="1855" spans="1:11" ht="42" customHeight="1">
      <c r="A1855" s="2" t="s">
        <v>4533</v>
      </c>
      <c r="B1855" s="2" t="s">
        <v>4534</v>
      </c>
      <c r="C1855" s="2" t="s">
        <v>68</v>
      </c>
      <c r="D1855" s="2" t="s">
        <v>69</v>
      </c>
      <c r="E1855" s="5">
        <v>-29845</v>
      </c>
      <c r="F1855" s="3" t="s">
        <v>105</v>
      </c>
      <c r="G1855" s="3" t="s">
        <v>45</v>
      </c>
      <c r="H1855" s="2" t="s">
        <v>36</v>
      </c>
      <c r="I1855" s="2" t="s">
        <v>4536</v>
      </c>
      <c r="J1855" s="3" t="str">
        <f>HYPERLINK("https://www.boe.es/gazeta/dias/1818/04/14/pdfs/GMD-1818-45.pdf#page=8","Abrir facsímil")</f>
        <v>Abrir facsímil</v>
      </c>
      <c r="K1855" s="3" t="s">
        <v>38</v>
      </c>
    </row>
    <row r="1856" spans="1:11" ht="42" customHeight="1">
      <c r="A1856" s="2" t="s">
        <v>4533</v>
      </c>
      <c r="B1856" s="2" t="s">
        <v>4534</v>
      </c>
      <c r="C1856" s="2" t="s">
        <v>68</v>
      </c>
      <c r="D1856" s="2" t="s">
        <v>69</v>
      </c>
      <c r="E1856" s="5">
        <v>-29829</v>
      </c>
      <c r="F1856" s="3" t="s">
        <v>44</v>
      </c>
      <c r="G1856" s="3" t="s">
        <v>20</v>
      </c>
      <c r="H1856" s="2" t="s">
        <v>36</v>
      </c>
      <c r="I1856" s="2" t="s">
        <v>4537</v>
      </c>
      <c r="J1856" s="3" t="str">
        <f>HYPERLINK("https://www.boe.es/gazeta/dias/1818/04/30/pdfs/GMD-1818-52.pdf#page=7","Abrir facsímil")</f>
        <v>Abrir facsímil</v>
      </c>
      <c r="K1856" s="3" t="s">
        <v>38</v>
      </c>
    </row>
    <row r="1857" spans="1:11" ht="42" customHeight="1">
      <c r="A1857" s="2" t="s">
        <v>4533</v>
      </c>
      <c r="B1857" s="2" t="s">
        <v>4534</v>
      </c>
      <c r="C1857" s="2" t="s">
        <v>97</v>
      </c>
      <c r="D1857" s="2" t="s">
        <v>18</v>
      </c>
      <c r="E1857" s="5">
        <v>-29752</v>
      </c>
      <c r="F1857" s="3" t="s">
        <v>165</v>
      </c>
      <c r="G1857" s="3" t="s">
        <v>45</v>
      </c>
      <c r="H1857" s="2" t="s">
        <v>36</v>
      </c>
      <c r="I1857" s="2" t="s">
        <v>4538</v>
      </c>
      <c r="J1857" s="3" t="str">
        <f>HYPERLINK("https://www.boe.es/gazeta/dias/1818/07/16/pdfs/GMD-1818-85.pdf#page=8","Abrir facsímil")</f>
        <v>Abrir facsímil</v>
      </c>
      <c r="K1857" s="3" t="s">
        <v>38</v>
      </c>
    </row>
    <row r="1858" spans="1:11" ht="42" customHeight="1">
      <c r="A1858" s="2" t="s">
        <v>4533</v>
      </c>
      <c r="B1858" s="2" t="s">
        <v>4534</v>
      </c>
      <c r="C1858" s="2" t="s">
        <v>68</v>
      </c>
      <c r="D1858" s="2" t="s">
        <v>69</v>
      </c>
      <c r="E1858" s="5">
        <v>-29701</v>
      </c>
      <c r="F1858" s="3" t="s">
        <v>596</v>
      </c>
      <c r="G1858" s="3" t="s">
        <v>45</v>
      </c>
      <c r="H1858" s="2" t="s">
        <v>36</v>
      </c>
      <c r="I1858" s="2" t="s">
        <v>4539</v>
      </c>
      <c r="J1858" s="3" t="str">
        <f>HYPERLINK("https://www.boe.es/gazeta/dias/1818/09/05/pdfs/GMD-1818-107.pdf#page=8","Abrir facsímil")</f>
        <v>Abrir facsímil</v>
      </c>
      <c r="K1858" s="3" t="s">
        <v>38</v>
      </c>
    </row>
    <row r="1859" spans="1:11" ht="42" customHeight="1">
      <c r="A1859" s="2" t="s">
        <v>4533</v>
      </c>
      <c r="B1859" s="2" t="s">
        <v>4534</v>
      </c>
      <c r="C1859" s="2" t="s">
        <v>68</v>
      </c>
      <c r="D1859" s="2" t="s">
        <v>69</v>
      </c>
      <c r="E1859" s="5">
        <v>-29621</v>
      </c>
      <c r="F1859" s="3" t="s">
        <v>1561</v>
      </c>
      <c r="G1859" s="3" t="s">
        <v>45</v>
      </c>
      <c r="H1859" s="2" t="s">
        <v>36</v>
      </c>
      <c r="I1859" s="2" t="s">
        <v>4540</v>
      </c>
      <c r="J1859" s="3" t="str">
        <f>HYPERLINK("https://www.boe.es/gazeta/dias/1818/11/24/pdfs/GMD-1818-142.pdf#page=8","Abrir facsímil")</f>
        <v>Abrir facsímil</v>
      </c>
      <c r="K1859" s="3" t="s">
        <v>38</v>
      </c>
    </row>
    <row r="1860" spans="1:11" ht="42" customHeight="1">
      <c r="A1860" s="2" t="s">
        <v>4541</v>
      </c>
      <c r="B1860" s="2" t="s">
        <v>4542</v>
      </c>
      <c r="C1860" s="2" t="s">
        <v>63</v>
      </c>
      <c r="D1860" s="2" t="s">
        <v>18</v>
      </c>
      <c r="E1860" s="5">
        <v>-29670</v>
      </c>
      <c r="F1860" s="3" t="s">
        <v>48</v>
      </c>
      <c r="G1860" s="3" t="s">
        <v>45</v>
      </c>
      <c r="H1860" s="2" t="s">
        <v>36</v>
      </c>
      <c r="I1860" s="2" t="s">
        <v>4543</v>
      </c>
      <c r="J1860" s="3" t="str">
        <f>HYPERLINK("https://www.boe.es/gazeta/dias/1818/10/06/pdfs/GMD-1818-120.pdf#page=8","Abrir facsímil")</f>
        <v>Abrir facsímil</v>
      </c>
      <c r="K1860" s="3" t="s">
        <v>38</v>
      </c>
    </row>
    <row r="1861" spans="1:11" ht="42" customHeight="1">
      <c r="A1861" s="2" t="s">
        <v>4544</v>
      </c>
      <c r="B1861" s="2" t="s">
        <v>4545</v>
      </c>
      <c r="C1861" s="2" t="s">
        <v>26</v>
      </c>
      <c r="D1861" s="2" t="s">
        <v>27</v>
      </c>
      <c r="E1861" s="5">
        <v>-29726</v>
      </c>
      <c r="F1861" s="3" t="s">
        <v>70</v>
      </c>
      <c r="G1861" s="3" t="s">
        <v>4546</v>
      </c>
      <c r="H1861" s="2" t="s">
        <v>36</v>
      </c>
      <c r="I1861" s="2" t="s">
        <v>4547</v>
      </c>
      <c r="J1861" s="3" t="str">
        <f>HYPERLINK("https://www.boe.es/gazeta/dias/1818/08/11/pdfs/GMD-1818-96.pdf#page=13","Abrir facsímil")</f>
        <v>Abrir facsímil</v>
      </c>
      <c r="K1861" s="3" t="s">
        <v>38</v>
      </c>
    </row>
    <row r="1862" spans="1:11" ht="42" customHeight="1">
      <c r="A1862" s="2" t="s">
        <v>4548</v>
      </c>
      <c r="B1862" s="2" t="s">
        <v>4549</v>
      </c>
      <c r="C1862" s="2" t="s">
        <v>26</v>
      </c>
      <c r="D1862" s="2" t="s">
        <v>27</v>
      </c>
      <c r="E1862" s="5">
        <v>-29677</v>
      </c>
      <c r="F1862" s="3" t="s">
        <v>157</v>
      </c>
      <c r="G1862" s="3" t="s">
        <v>20</v>
      </c>
      <c r="H1862" s="2" t="s">
        <v>36</v>
      </c>
      <c r="I1862" s="2" t="s">
        <v>4550</v>
      </c>
      <c r="J1862" s="3" t="str">
        <f>HYPERLINK("https://www.boe.es/gazeta/dias/1818/09/29/pdfs/GMD-1818-117.pdf#page=7","Abrir facsímil")</f>
        <v>Abrir facsímil</v>
      </c>
      <c r="K1862" s="3" t="s">
        <v>38</v>
      </c>
    </row>
    <row r="1863" spans="1:11" ht="42" customHeight="1">
      <c r="A1863" s="2" t="s">
        <v>4551</v>
      </c>
      <c r="B1863" s="2" t="s">
        <v>4552</v>
      </c>
      <c r="C1863" s="2" t="s">
        <v>17</v>
      </c>
      <c r="D1863" s="2" t="s">
        <v>18</v>
      </c>
      <c r="E1863" s="5">
        <v>-29698</v>
      </c>
      <c r="F1863" s="3" t="s">
        <v>148</v>
      </c>
      <c r="G1863" s="3" t="s">
        <v>59</v>
      </c>
      <c r="H1863" s="2" t="s">
        <v>36</v>
      </c>
      <c r="I1863" s="2" t="s">
        <v>4553</v>
      </c>
      <c r="J1863" s="3" t="str">
        <f>HYPERLINK("https://www.boe.es/gazeta/dias/1818/09/08/pdfs/GMD-1818-108.pdf#page=6","Abrir facsímil")</f>
        <v>Abrir facsímil</v>
      </c>
      <c r="K1863" s="3" t="s">
        <v>38</v>
      </c>
    </row>
    <row r="1864" spans="1:11" ht="42" customHeight="1">
      <c r="A1864" s="2" t="s">
        <v>4554</v>
      </c>
      <c r="B1864" s="2" t="s">
        <v>4555</v>
      </c>
      <c r="C1864" s="2" t="s">
        <v>26</v>
      </c>
      <c r="D1864" s="2" t="s">
        <v>27</v>
      </c>
      <c r="E1864" s="5">
        <v>-29831</v>
      </c>
      <c r="F1864" s="3" t="s">
        <v>567</v>
      </c>
      <c r="G1864" s="3" t="s">
        <v>45</v>
      </c>
      <c r="H1864" s="2" t="s">
        <v>36</v>
      </c>
      <c r="I1864" s="2" t="s">
        <v>4556</v>
      </c>
      <c r="J1864" s="3" t="str">
        <f>HYPERLINK("https://www.boe.es/gazeta/dias/1818/04/28/pdfs/GMD-1818-51.pdf#page=8","Abrir facsímil")</f>
        <v>Abrir facsímil</v>
      </c>
      <c r="K1864" s="3" t="s">
        <v>38</v>
      </c>
    </row>
    <row r="1865" spans="1:11" ht="42" customHeight="1">
      <c r="A1865" s="2" t="s">
        <v>4557</v>
      </c>
      <c r="B1865" s="2" t="s">
        <v>4557</v>
      </c>
      <c r="C1865" s="2" t="s">
        <v>68</v>
      </c>
      <c r="D1865" s="2" t="s">
        <v>69</v>
      </c>
      <c r="E1865" s="5">
        <v>-29717</v>
      </c>
      <c r="F1865" s="3" t="s">
        <v>1644</v>
      </c>
      <c r="G1865" s="3" t="s">
        <v>85</v>
      </c>
      <c r="H1865" s="2" t="s">
        <v>36</v>
      </c>
      <c r="I1865" s="2" t="s">
        <v>4558</v>
      </c>
      <c r="J1865" s="3" t="str">
        <f>HYPERLINK("https://www.boe.es/gazeta/dias/1818/08/20/pdfs/GMD-1818-100.pdf#page=3","Abrir facsímil")</f>
        <v>Abrir facsímil</v>
      </c>
      <c r="K1865" s="3" t="s">
        <v>38</v>
      </c>
    </row>
    <row r="1866" spans="1:11" ht="42" customHeight="1">
      <c r="A1866" s="2" t="s">
        <v>4559</v>
      </c>
      <c r="B1866" s="2" t="s">
        <v>4560</v>
      </c>
      <c r="C1866" s="2" t="s">
        <v>26</v>
      </c>
      <c r="D1866" s="2" t="s">
        <v>27</v>
      </c>
      <c r="E1866" s="5">
        <v>-29817</v>
      </c>
      <c r="F1866" s="3" t="s">
        <v>284</v>
      </c>
      <c r="G1866" s="3" t="s">
        <v>45</v>
      </c>
      <c r="H1866" s="2" t="s">
        <v>36</v>
      </c>
      <c r="I1866" s="2" t="s">
        <v>4561</v>
      </c>
      <c r="J1866" s="3" t="str">
        <f>HYPERLINK("https://www.boe.es/gazeta/dias/1818/05/12/pdfs/GMD-1818-57.pdf#page=8","Abrir facsímil")</f>
        <v>Abrir facsímil</v>
      </c>
      <c r="K1866" s="3" t="s">
        <v>38</v>
      </c>
    </row>
    <row r="1867" spans="1:11" ht="42" customHeight="1">
      <c r="A1867" s="2" t="s">
        <v>4562</v>
      </c>
      <c r="B1867" s="2" t="s">
        <v>4563</v>
      </c>
      <c r="C1867" s="2" t="s">
        <v>63</v>
      </c>
      <c r="D1867" s="2" t="s">
        <v>18</v>
      </c>
      <c r="E1867" s="5">
        <v>-29607</v>
      </c>
      <c r="F1867" s="3" t="s">
        <v>704</v>
      </c>
      <c r="G1867" s="3" t="s">
        <v>20</v>
      </c>
      <c r="H1867" s="2" t="s">
        <v>36</v>
      </c>
      <c r="I1867" s="2" t="s">
        <v>4564</v>
      </c>
      <c r="J1867" s="3" t="str">
        <f>HYPERLINK("https://www.boe.es/gazeta/dias/1818/12/08/pdfs/GMD-1818-148.pdf#page=7","Abrir facsímil")</f>
        <v>Abrir facsímil</v>
      </c>
      <c r="K1867" s="3" t="s">
        <v>38</v>
      </c>
    </row>
    <row r="1868" spans="1:11" ht="42" customHeight="1">
      <c r="A1868" s="2" t="s">
        <v>4565</v>
      </c>
      <c r="B1868" s="2" t="s">
        <v>4566</v>
      </c>
      <c r="C1868" s="2" t="s">
        <v>57</v>
      </c>
      <c r="D1868" s="2" t="s">
        <v>18</v>
      </c>
      <c r="E1868" s="5">
        <v>-29915</v>
      </c>
      <c r="F1868" s="3" t="s">
        <v>429</v>
      </c>
      <c r="G1868" s="3" t="s">
        <v>20</v>
      </c>
      <c r="H1868" s="2" t="s">
        <v>36</v>
      </c>
      <c r="I1868" s="2" t="s">
        <v>4567</v>
      </c>
      <c r="J1868" s="3" t="str">
        <f>HYPERLINK("https://www.boe.es/gazeta/dias/1818/02/03/pdfs/GMD-1818-15.pdf#page=7","Abrir facsímil")</f>
        <v>Abrir facsímil</v>
      </c>
      <c r="K1868" s="3" t="s">
        <v>38</v>
      </c>
    </row>
    <row r="1869" spans="1:11" ht="42" customHeight="1">
      <c r="A1869" s="2" t="s">
        <v>4568</v>
      </c>
      <c r="B1869" s="2" t="s">
        <v>4569</v>
      </c>
      <c r="C1869" s="2" t="s">
        <v>17</v>
      </c>
      <c r="D1869" s="2" t="s">
        <v>18</v>
      </c>
      <c r="E1869" s="5">
        <v>-29624</v>
      </c>
      <c r="F1869" s="3" t="s">
        <v>131</v>
      </c>
      <c r="G1869" s="3" t="s">
        <v>20</v>
      </c>
      <c r="H1869" s="2" t="s">
        <v>36</v>
      </c>
      <c r="I1869" s="2" t="s">
        <v>4570</v>
      </c>
      <c r="J1869" s="3" t="str">
        <f>HYPERLINK("https://www.boe.es/gazeta/dias/1818/11/21/pdfs/GMD-1818-141.pdf#page=7","Abrir facsímil")</f>
        <v>Abrir facsímil</v>
      </c>
      <c r="K1869" s="3" t="s">
        <v>38</v>
      </c>
    </row>
    <row r="1870" spans="1:11" ht="42" customHeight="1">
      <c r="A1870" s="2" t="s">
        <v>4571</v>
      </c>
      <c r="B1870" s="2" t="s">
        <v>4572</v>
      </c>
      <c r="C1870" s="2" t="s">
        <v>17</v>
      </c>
      <c r="D1870" s="2" t="s">
        <v>18</v>
      </c>
      <c r="E1870" s="5">
        <v>-29624</v>
      </c>
      <c r="F1870" s="3" t="s">
        <v>131</v>
      </c>
      <c r="G1870" s="3" t="s">
        <v>20</v>
      </c>
      <c r="H1870" s="2" t="s">
        <v>36</v>
      </c>
      <c r="I1870" s="2" t="s">
        <v>4573</v>
      </c>
      <c r="J1870" s="3" t="str">
        <f>HYPERLINK("https://www.boe.es/gazeta/dias/1818/11/21/pdfs/GMD-1818-141.pdf#page=7","Abrir facsímil")</f>
        <v>Abrir facsímil</v>
      </c>
      <c r="K1870" s="3" t="s">
        <v>38</v>
      </c>
    </row>
    <row r="1871" spans="1:11" ht="42" customHeight="1">
      <c r="A1871" s="2" t="s">
        <v>4574</v>
      </c>
      <c r="B1871" s="2" t="s">
        <v>4575</v>
      </c>
      <c r="C1871" s="2" t="s">
        <v>26</v>
      </c>
      <c r="D1871" s="2" t="s">
        <v>27</v>
      </c>
      <c r="E1871" s="5">
        <v>-29708</v>
      </c>
      <c r="F1871" s="3" t="s">
        <v>413</v>
      </c>
      <c r="G1871" s="3" t="s">
        <v>106</v>
      </c>
      <c r="H1871" s="2" t="s">
        <v>36</v>
      </c>
      <c r="I1871" s="2" t="s">
        <v>4576</v>
      </c>
      <c r="J1871" s="3" t="str">
        <f>HYPERLINK("https://www.boe.es/gazeta/dias/1818/08/29/pdfs/GMD-1818-104.pdf#page=5","Abrir facsímil")</f>
        <v>Abrir facsímil</v>
      </c>
      <c r="K1871" s="3" t="s">
        <v>38</v>
      </c>
    </row>
    <row r="1872" spans="1:11" ht="42" customHeight="1">
      <c r="A1872" s="2" t="s">
        <v>4577</v>
      </c>
      <c r="B1872" s="2" t="s">
        <v>4577</v>
      </c>
      <c r="C1872" s="2" t="s">
        <v>26</v>
      </c>
      <c r="D1872" s="2" t="s">
        <v>27</v>
      </c>
      <c r="E1872" s="5">
        <v>-29649</v>
      </c>
      <c r="F1872" s="3" t="s">
        <v>585</v>
      </c>
      <c r="G1872" s="3" t="s">
        <v>106</v>
      </c>
      <c r="H1872" s="2" t="s">
        <v>36</v>
      </c>
      <c r="I1872" s="2" t="s">
        <v>4578</v>
      </c>
      <c r="J1872" s="3" t="str">
        <f>HYPERLINK("https://www.boe.es/gazeta/dias/1818/10/27/pdfs/GMD-1818-130.pdf#page=5","Abrir facsímil")</f>
        <v>Abrir facsímil</v>
      </c>
      <c r="K1872" s="3" t="s">
        <v>38</v>
      </c>
    </row>
    <row r="1873" spans="1:11" ht="42" customHeight="1">
      <c r="A1873" s="2" t="s">
        <v>4579</v>
      </c>
      <c r="B1873" s="2" t="s">
        <v>4580</v>
      </c>
      <c r="C1873" s="2" t="s">
        <v>26</v>
      </c>
      <c r="D1873" s="2" t="s">
        <v>27</v>
      </c>
      <c r="E1873" s="5">
        <v>-29696</v>
      </c>
      <c r="F1873" s="3" t="s">
        <v>1716</v>
      </c>
      <c r="G1873" s="3" t="s">
        <v>45</v>
      </c>
      <c r="H1873" s="2" t="s">
        <v>36</v>
      </c>
      <c r="I1873" s="2" t="s">
        <v>4581</v>
      </c>
      <c r="J1873" s="3" t="str">
        <f>HYPERLINK("https://www.boe.es/gazeta/dias/1818/09/10/pdfs/GMD-1818-109.pdf#page=8","Abrir facsímil")</f>
        <v>Abrir facsímil</v>
      </c>
      <c r="K1873" s="3" t="s">
        <v>38</v>
      </c>
    </row>
    <row r="1874" spans="1:11" ht="42" customHeight="1">
      <c r="A1874" s="2" t="s">
        <v>4582</v>
      </c>
      <c r="B1874" s="2" t="s">
        <v>4583</v>
      </c>
      <c r="C1874" s="2" t="s">
        <v>26</v>
      </c>
      <c r="D1874" s="2" t="s">
        <v>27</v>
      </c>
      <c r="E1874" s="5">
        <v>-29696</v>
      </c>
      <c r="F1874" s="3" t="s">
        <v>1716</v>
      </c>
      <c r="G1874" s="3" t="s">
        <v>45</v>
      </c>
      <c r="H1874" s="2" t="s">
        <v>36</v>
      </c>
      <c r="I1874" s="2" t="s">
        <v>4584</v>
      </c>
      <c r="J1874" s="3" t="str">
        <f>HYPERLINK("https://www.boe.es/gazeta/dias/1818/09/10/pdfs/GMD-1818-109.pdf#page=8","Abrir facsímil")</f>
        <v>Abrir facsímil</v>
      </c>
      <c r="K1874" s="3" t="s">
        <v>38</v>
      </c>
    </row>
    <row r="1875" spans="1:11" ht="42" customHeight="1">
      <c r="A1875" s="2" t="s">
        <v>4585</v>
      </c>
      <c r="B1875" s="2" t="s">
        <v>4585</v>
      </c>
      <c r="C1875" s="2" t="s">
        <v>68</v>
      </c>
      <c r="D1875" s="2" t="s">
        <v>69</v>
      </c>
      <c r="E1875" s="5">
        <v>-29834</v>
      </c>
      <c r="F1875" s="3" t="s">
        <v>457</v>
      </c>
      <c r="G1875" s="3" t="s">
        <v>85</v>
      </c>
      <c r="H1875" s="2" t="s">
        <v>36</v>
      </c>
      <c r="I1875" s="2" t="s">
        <v>4586</v>
      </c>
      <c r="J1875" s="3" t="str">
        <f>HYPERLINK("https://www.boe.es/gazeta/dias/1818/04/25/pdfs/GMD-1818-50.pdf#page=3","Abrir facsímil")</f>
        <v>Abrir facsímil</v>
      </c>
      <c r="K1875" s="3" t="s">
        <v>38</v>
      </c>
    </row>
    <row r="1876" spans="1:11" ht="42" customHeight="1">
      <c r="A1876" s="2" t="s">
        <v>4587</v>
      </c>
      <c r="B1876" s="2" t="s">
        <v>4587</v>
      </c>
      <c r="C1876" s="2" t="s">
        <v>26</v>
      </c>
      <c r="D1876" s="2" t="s">
        <v>27</v>
      </c>
      <c r="E1876" s="5">
        <v>-29908</v>
      </c>
      <c r="F1876" s="3" t="s">
        <v>695</v>
      </c>
      <c r="G1876" s="3" t="s">
        <v>49</v>
      </c>
      <c r="H1876" s="2" t="s">
        <v>36</v>
      </c>
      <c r="I1876" s="2" t="s">
        <v>4588</v>
      </c>
      <c r="J1876" s="3" t="str">
        <f>HYPERLINK("https://www.boe.es/gazeta/dias/1818/02/10/pdfs/GMD-1818-18.pdf#page=1","Abrir facsímil")</f>
        <v>Abrir facsímil</v>
      </c>
      <c r="K1876" s="3" t="s">
        <v>38</v>
      </c>
    </row>
    <row r="1877" spans="1:11" ht="42" customHeight="1">
      <c r="A1877" s="2" t="s">
        <v>4589</v>
      </c>
      <c r="B1877" s="2" t="s">
        <v>4589</v>
      </c>
      <c r="C1877" s="2" t="s">
        <v>17</v>
      </c>
      <c r="D1877" s="2" t="s">
        <v>18</v>
      </c>
      <c r="E1877" s="5">
        <v>-29859</v>
      </c>
      <c r="F1877" s="3" t="s">
        <v>3456</v>
      </c>
      <c r="G1877" s="3" t="s">
        <v>4590</v>
      </c>
      <c r="H1877" s="2" t="s">
        <v>36</v>
      </c>
      <c r="I1877" s="2" t="s">
        <v>4591</v>
      </c>
      <c r="J1877" s="3" t="str">
        <f>HYPERLINK("https://www.boe.es/gazeta/dias/1818/03/31/pdfs/GMD-1818-39.pdf#page=3","Abrir facsímil")</f>
        <v>Abrir facsímil</v>
      </c>
      <c r="K1877" s="3" t="s">
        <v>38</v>
      </c>
    </row>
    <row r="1878" spans="1:11" ht="42" customHeight="1">
      <c r="A1878" s="2" t="s">
        <v>4589</v>
      </c>
      <c r="B1878" s="2" t="s">
        <v>4589</v>
      </c>
      <c r="C1878" s="2" t="s">
        <v>26</v>
      </c>
      <c r="D1878" s="2" t="s">
        <v>27</v>
      </c>
      <c r="E1878" s="5">
        <v>-29850</v>
      </c>
      <c r="F1878" s="3" t="s">
        <v>1051</v>
      </c>
      <c r="G1878" s="3" t="s">
        <v>120</v>
      </c>
      <c r="H1878" s="2" t="s">
        <v>36</v>
      </c>
      <c r="I1878" s="2" t="s">
        <v>4592</v>
      </c>
      <c r="J1878" s="3" t="str">
        <f>HYPERLINK("https://www.boe.es/gazeta/dias/1818/04/09/pdfs/GMD-1818-43.pdf#page=2","Abrir facsímil")</f>
        <v>Abrir facsímil</v>
      </c>
      <c r="K1878" s="3" t="s">
        <v>38</v>
      </c>
    </row>
    <row r="1879" spans="1:11" ht="42" customHeight="1">
      <c r="A1879" s="2" t="s">
        <v>4593</v>
      </c>
      <c r="B1879" s="2" t="s">
        <v>4594</v>
      </c>
      <c r="C1879" s="2" t="s">
        <v>17</v>
      </c>
      <c r="D1879" s="2" t="s">
        <v>18</v>
      </c>
      <c r="E1879" s="5">
        <v>-29736</v>
      </c>
      <c r="F1879" s="3" t="s">
        <v>581</v>
      </c>
      <c r="G1879" s="3" t="s">
        <v>59</v>
      </c>
      <c r="H1879" s="2" t="s">
        <v>36</v>
      </c>
      <c r="I1879" s="2" t="s">
        <v>4595</v>
      </c>
      <c r="J1879" s="3" t="str">
        <f>HYPERLINK("https://www.boe.es/gazeta/dias/1818/08/01/pdfs/GMD-1818-92.pdf#page=6","Abrir facsímil")</f>
        <v>Abrir facsímil</v>
      </c>
      <c r="K1879" s="3" t="s">
        <v>38</v>
      </c>
    </row>
    <row r="1880" spans="1:11" ht="42" customHeight="1">
      <c r="A1880" s="2" t="s">
        <v>4596</v>
      </c>
      <c r="B1880" s="2" t="s">
        <v>4596</v>
      </c>
      <c r="C1880" s="2" t="s">
        <v>26</v>
      </c>
      <c r="D1880" s="2" t="s">
        <v>27</v>
      </c>
      <c r="E1880" s="5">
        <v>-29843</v>
      </c>
      <c r="F1880" s="3" t="s">
        <v>182</v>
      </c>
      <c r="G1880" s="3" t="s">
        <v>29</v>
      </c>
      <c r="H1880" s="2" t="s">
        <v>36</v>
      </c>
      <c r="I1880" s="2" t="s">
        <v>4597</v>
      </c>
      <c r="J1880" s="3" t="str">
        <f>HYPERLINK("https://www.boe.es/gazeta/dias/1818/04/16/pdfs/GMD-1818-46.pdf#page=4","Abrir facsímil")</f>
        <v>Abrir facsímil</v>
      </c>
      <c r="K1880" s="3" t="s">
        <v>38</v>
      </c>
    </row>
    <row r="1881" spans="1:11" ht="42" customHeight="1">
      <c r="A1881" s="2" t="s">
        <v>4598</v>
      </c>
      <c r="B1881" s="2" t="s">
        <v>4599</v>
      </c>
      <c r="C1881" s="2" t="s">
        <v>26</v>
      </c>
      <c r="D1881" s="2" t="s">
        <v>27</v>
      </c>
      <c r="E1881" s="5">
        <v>-29920</v>
      </c>
      <c r="F1881" s="3" t="s">
        <v>201</v>
      </c>
      <c r="G1881" s="3" t="s">
        <v>106</v>
      </c>
      <c r="H1881" s="2" t="s">
        <v>36</v>
      </c>
      <c r="I1881" s="2" t="s">
        <v>4600</v>
      </c>
      <c r="J1881" s="3" t="str">
        <f>HYPERLINK("https://www.boe.es/gazeta/dias/1818/01/29/pdfs/GMD-1818-13.pdf#page=5","Abrir facsímil")</f>
        <v>Abrir facsímil</v>
      </c>
      <c r="K1881" s="3" t="s">
        <v>38</v>
      </c>
    </row>
    <row r="1882" spans="1:11" ht="42" customHeight="1">
      <c r="A1882" s="2" t="s">
        <v>4598</v>
      </c>
      <c r="B1882" s="2" t="s">
        <v>4599</v>
      </c>
      <c r="C1882" s="2" t="s">
        <v>26</v>
      </c>
      <c r="D1882" s="2" t="s">
        <v>27</v>
      </c>
      <c r="E1882" s="5">
        <v>-29904</v>
      </c>
      <c r="F1882" s="3" t="s">
        <v>451</v>
      </c>
      <c r="G1882" s="3" t="s">
        <v>20</v>
      </c>
      <c r="H1882" s="2" t="s">
        <v>36</v>
      </c>
      <c r="I1882" s="2" t="s">
        <v>4601</v>
      </c>
      <c r="J1882" s="3" t="str">
        <f>HYPERLINK("https://www.boe.es/gazeta/dias/1818/02/14/pdfs/GMD-1818-20.pdf#page=7","Abrir facsímil")</f>
        <v>Abrir facsímil</v>
      </c>
      <c r="K1882" s="3" t="s">
        <v>38</v>
      </c>
    </row>
    <row r="1883" spans="1:11" ht="42" customHeight="1">
      <c r="A1883" s="2" t="s">
        <v>4602</v>
      </c>
      <c r="B1883" s="2" t="s">
        <v>4603</v>
      </c>
      <c r="C1883" s="2" t="s">
        <v>26</v>
      </c>
      <c r="D1883" s="2" t="s">
        <v>27</v>
      </c>
      <c r="E1883" s="5">
        <v>-29897</v>
      </c>
      <c r="F1883" s="3" t="s">
        <v>318</v>
      </c>
      <c r="G1883" s="3" t="s">
        <v>106</v>
      </c>
      <c r="H1883" s="2" t="s">
        <v>36</v>
      </c>
      <c r="I1883" s="2" t="s">
        <v>4604</v>
      </c>
      <c r="J1883" s="3" t="str">
        <f>HYPERLINK("https://www.boe.es/gazeta/dias/1818/02/21/pdfs/GMD-1818-23.pdf#page=5","Abrir facsímil")</f>
        <v>Abrir facsímil</v>
      </c>
      <c r="K1883" s="3" t="s">
        <v>38</v>
      </c>
    </row>
    <row r="1884" spans="1:11" ht="42" customHeight="1">
      <c r="A1884" s="2" t="s">
        <v>4605</v>
      </c>
      <c r="B1884" s="2" t="s">
        <v>4606</v>
      </c>
      <c r="C1884" s="2" t="s">
        <v>26</v>
      </c>
      <c r="D1884" s="2" t="s">
        <v>27</v>
      </c>
      <c r="E1884" s="5">
        <v>-29920</v>
      </c>
      <c r="F1884" s="3" t="s">
        <v>201</v>
      </c>
      <c r="G1884" s="3" t="s">
        <v>503</v>
      </c>
      <c r="H1884" s="2" t="s">
        <v>36</v>
      </c>
      <c r="I1884" s="2" t="s">
        <v>4607</v>
      </c>
      <c r="J1884" s="3" t="str">
        <f>HYPERLINK("https://www.boe.es/gazeta/dias/1818/01/29/pdfs/GMD-1818-13.pdf#page=10","Abrir facsímil")</f>
        <v>Abrir facsímil</v>
      </c>
      <c r="K1884" s="3" t="s">
        <v>38</v>
      </c>
    </row>
    <row r="1885" spans="1:11" ht="42" customHeight="1">
      <c r="A1885" s="2" t="s">
        <v>4608</v>
      </c>
      <c r="B1885" s="2" t="s">
        <v>4609</v>
      </c>
      <c r="C1885" s="2" t="s">
        <v>26</v>
      </c>
      <c r="D1885" s="2" t="s">
        <v>27</v>
      </c>
      <c r="E1885" s="5">
        <v>-29589</v>
      </c>
      <c r="F1885" s="3" t="s">
        <v>210</v>
      </c>
      <c r="G1885" s="3" t="s">
        <v>106</v>
      </c>
      <c r="H1885" s="2" t="s">
        <v>36</v>
      </c>
      <c r="I1885" s="2" t="s">
        <v>4610</v>
      </c>
      <c r="J1885" s="3" t="str">
        <f>HYPERLINK("https://www.boe.es/gazeta/dias/1818/12/26/pdfs/GMD-1818-156.pdf#page=5","Abrir facsímil")</f>
        <v>Abrir facsímil</v>
      </c>
      <c r="K1885" s="3" t="s">
        <v>38</v>
      </c>
    </row>
    <row r="1886" spans="1:11" ht="42" customHeight="1">
      <c r="A1886" s="2" t="s">
        <v>4611</v>
      </c>
      <c r="B1886" s="2" t="s">
        <v>4611</v>
      </c>
      <c r="C1886" s="2" t="s">
        <v>26</v>
      </c>
      <c r="D1886" s="2" t="s">
        <v>27</v>
      </c>
      <c r="E1886" s="5">
        <v>-29934</v>
      </c>
      <c r="F1886" s="3" t="s">
        <v>53</v>
      </c>
      <c r="G1886" s="3" t="s">
        <v>49</v>
      </c>
      <c r="H1886" s="2" t="s">
        <v>36</v>
      </c>
      <c r="I1886" s="2" t="s">
        <v>4612</v>
      </c>
      <c r="J1886" s="3" t="str">
        <f>HYPERLINK("https://www.boe.es/gazeta/dias/1818/01/15/pdfs/GMD-1818-7.pdf#page=1","Abrir facsímil")</f>
        <v>Abrir facsímil</v>
      </c>
      <c r="K1886" s="3" t="s">
        <v>38</v>
      </c>
    </row>
    <row r="1887" spans="1:11" ht="42" customHeight="1">
      <c r="A1887" s="2" t="s">
        <v>4613</v>
      </c>
      <c r="B1887" s="2" t="s">
        <v>4614</v>
      </c>
      <c r="C1887" s="2" t="s">
        <v>68</v>
      </c>
      <c r="D1887" s="2" t="s">
        <v>69</v>
      </c>
      <c r="E1887" s="5">
        <v>-29680</v>
      </c>
      <c r="F1887" s="3" t="s">
        <v>865</v>
      </c>
      <c r="G1887" s="3" t="s">
        <v>45</v>
      </c>
      <c r="H1887" s="2" t="s">
        <v>21</v>
      </c>
      <c r="I1887" s="2" t="s">
        <v>4615</v>
      </c>
      <c r="J1887" s="3" t="str">
        <f>HYPERLINK("https://www.boe.es/gazeta/dias/1818/09/26/pdfs/GMD-1818-116.pdf#page=8","Abrir facsímil")</f>
        <v>Abrir facsímil</v>
      </c>
      <c r="K1887" s="3" t="s">
        <v>23</v>
      </c>
    </row>
    <row r="1888" spans="1:11" ht="42" customHeight="1">
      <c r="A1888" s="2" t="s">
        <v>4616</v>
      </c>
      <c r="B1888" s="2" t="s">
        <v>4617</v>
      </c>
      <c r="C1888" s="2" t="s">
        <v>26</v>
      </c>
      <c r="D1888" s="2" t="s">
        <v>27</v>
      </c>
      <c r="E1888" s="5">
        <v>-29796</v>
      </c>
      <c r="F1888" s="3" t="s">
        <v>1359</v>
      </c>
      <c r="G1888" s="3" t="s">
        <v>3198</v>
      </c>
      <c r="H1888" s="2" t="s">
        <v>21</v>
      </c>
      <c r="I1888" s="2" t="s">
        <v>4618</v>
      </c>
      <c r="J1888" s="3" t="str">
        <f>HYPERLINK("https://www.boe.es/gazeta/dias/1818/06/02/pdfs/GMD-1818-66.pdf#page=8","Abrir facsímil")</f>
        <v>Abrir facsímil</v>
      </c>
      <c r="K1888" s="3" t="s">
        <v>23</v>
      </c>
    </row>
    <row r="1889" spans="1:11" ht="42" customHeight="1">
      <c r="A1889" s="2" t="s">
        <v>4619</v>
      </c>
      <c r="B1889" s="2" t="s">
        <v>4620</v>
      </c>
      <c r="C1889" s="2" t="s">
        <v>57</v>
      </c>
      <c r="D1889" s="2" t="s">
        <v>18</v>
      </c>
      <c r="E1889" s="5">
        <v>-29838</v>
      </c>
      <c r="F1889" s="3" t="s">
        <v>593</v>
      </c>
      <c r="G1889" s="3" t="s">
        <v>45</v>
      </c>
      <c r="H1889" s="2" t="s">
        <v>36</v>
      </c>
      <c r="I1889" s="2" t="s">
        <v>4621</v>
      </c>
      <c r="J1889" s="3" t="str">
        <f>HYPERLINK("https://www.boe.es/gazeta/dias/1818/04/21/pdfs/GMD-1818-48.pdf#page=8","Abrir facsímil")</f>
        <v>Abrir facsímil</v>
      </c>
      <c r="K1889" s="3" t="s">
        <v>38</v>
      </c>
    </row>
    <row r="1890" spans="1:11" ht="42" customHeight="1">
      <c r="A1890" s="2" t="s">
        <v>4622</v>
      </c>
      <c r="B1890" s="2" t="s">
        <v>4623</v>
      </c>
      <c r="C1890" s="2" t="s">
        <v>17</v>
      </c>
      <c r="D1890" s="2" t="s">
        <v>18</v>
      </c>
      <c r="E1890" s="5">
        <v>-29631</v>
      </c>
      <c r="F1890" s="3" t="s">
        <v>743</v>
      </c>
      <c r="G1890" s="3" t="s">
        <v>85</v>
      </c>
      <c r="H1890" s="2" t="s">
        <v>21</v>
      </c>
      <c r="I1890" s="2" t="s">
        <v>4624</v>
      </c>
      <c r="J1890" s="3" t="str">
        <f>HYPERLINK("https://www.boe.es/gazeta/dias/1818/11/14/pdfs/GMD-1818-138.pdf#page=3","Abrir facsímil")</f>
        <v>Abrir facsímil</v>
      </c>
      <c r="K1890" s="3" t="s">
        <v>23</v>
      </c>
    </row>
    <row r="1891" spans="1:11" ht="42" customHeight="1">
      <c r="A1891" s="2" t="s">
        <v>4625</v>
      </c>
      <c r="B1891" s="2" t="s">
        <v>4626</v>
      </c>
      <c r="C1891" s="2" t="s">
        <v>57</v>
      </c>
      <c r="D1891" s="2" t="s">
        <v>18</v>
      </c>
      <c r="E1891" s="5">
        <v>-29584</v>
      </c>
      <c r="F1891" s="3" t="s">
        <v>1002</v>
      </c>
      <c r="G1891" s="3" t="s">
        <v>45</v>
      </c>
      <c r="H1891" s="2" t="s">
        <v>36</v>
      </c>
      <c r="I1891" s="2" t="s">
        <v>4627</v>
      </c>
      <c r="J1891" s="3" t="str">
        <f>HYPERLINK("https://www.boe.es/gazeta/dias/1818/12/31/pdfs/GMD-1818-159.pdf#page=8","Abrir facsímil")</f>
        <v>Abrir facsímil</v>
      </c>
      <c r="K1891" s="3" t="s">
        <v>38</v>
      </c>
    </row>
    <row r="1892" spans="1:11" ht="42" customHeight="1">
      <c r="A1892" s="2" t="s">
        <v>4628</v>
      </c>
      <c r="B1892" s="2" t="s">
        <v>4629</v>
      </c>
      <c r="C1892" s="2" t="s">
        <v>26</v>
      </c>
      <c r="D1892" s="2" t="s">
        <v>27</v>
      </c>
      <c r="E1892" s="5">
        <v>-29586</v>
      </c>
      <c r="F1892" s="3" t="s">
        <v>683</v>
      </c>
      <c r="G1892" s="3" t="s">
        <v>20</v>
      </c>
      <c r="H1892" s="2" t="s">
        <v>36</v>
      </c>
      <c r="I1892" s="2" t="s">
        <v>4630</v>
      </c>
      <c r="J1892" s="3" t="str">
        <f>HYPERLINK("https://www.boe.es/gazeta/dias/1818/12/29/pdfs/GMD-1818-158.pdf#page=7","Abrir facsímil")</f>
        <v>Abrir facsímil</v>
      </c>
      <c r="K1892" s="3" t="s">
        <v>38</v>
      </c>
    </row>
    <row r="1893" spans="1:11" ht="42" customHeight="1">
      <c r="A1893" s="2" t="s">
        <v>4631</v>
      </c>
      <c r="B1893" s="2" t="s">
        <v>4632</v>
      </c>
      <c r="C1893" s="2" t="s">
        <v>26</v>
      </c>
      <c r="D1893" s="2" t="s">
        <v>27</v>
      </c>
      <c r="E1893" s="5">
        <v>-29939</v>
      </c>
      <c r="F1893" s="3" t="s">
        <v>110</v>
      </c>
      <c r="G1893" s="3" t="s">
        <v>20</v>
      </c>
      <c r="H1893" s="2" t="s">
        <v>36</v>
      </c>
      <c r="I1893" s="2" t="s">
        <v>4633</v>
      </c>
      <c r="J1893" s="3" t="str">
        <f>HYPERLINK("https://www.boe.es/gazeta/dias/1818/01/10/pdfs/GMD-1818-5.pdf#page=7","Abrir facsímil")</f>
        <v>Abrir facsímil</v>
      </c>
      <c r="K1893" s="3" t="s">
        <v>38</v>
      </c>
    </row>
    <row r="1894" spans="1:11" ht="42" customHeight="1">
      <c r="A1894" s="2" t="s">
        <v>4634</v>
      </c>
      <c r="B1894" s="2" t="s">
        <v>4635</v>
      </c>
      <c r="C1894" s="2" t="s">
        <v>26</v>
      </c>
      <c r="D1894" s="2" t="s">
        <v>27</v>
      </c>
      <c r="E1894" s="5">
        <v>-29920</v>
      </c>
      <c r="F1894" s="3" t="s">
        <v>201</v>
      </c>
      <c r="G1894" s="3" t="s">
        <v>116</v>
      </c>
      <c r="H1894" s="2" t="s">
        <v>36</v>
      </c>
      <c r="I1894" s="2" t="s">
        <v>4636</v>
      </c>
      <c r="J1894" s="3" t="str">
        <f>HYPERLINK("https://www.boe.es/gazeta/dias/1818/01/29/pdfs/GMD-1818-13.pdf#page=12","Abrir facsímil")</f>
        <v>Abrir facsímil</v>
      </c>
      <c r="K1894" s="3" t="s">
        <v>38</v>
      </c>
    </row>
    <row r="1895" spans="1:11" ht="42" customHeight="1">
      <c r="A1895" s="2" t="s">
        <v>4634</v>
      </c>
      <c r="B1895" s="2" t="s">
        <v>4635</v>
      </c>
      <c r="C1895" s="2" t="s">
        <v>26</v>
      </c>
      <c r="D1895" s="2" t="s">
        <v>27</v>
      </c>
      <c r="E1895" s="5">
        <v>-29710</v>
      </c>
      <c r="F1895" s="3" t="s">
        <v>1026</v>
      </c>
      <c r="G1895" s="3" t="s">
        <v>20</v>
      </c>
      <c r="H1895" s="2" t="s">
        <v>36</v>
      </c>
      <c r="I1895" s="2" t="s">
        <v>4637</v>
      </c>
      <c r="J1895" s="3" t="str">
        <f>HYPERLINK("https://www.boe.es/gazeta/dias/1818/08/27/pdfs/GMD-1818-103.pdf#page=7","Abrir facsímil")</f>
        <v>Abrir facsímil</v>
      </c>
      <c r="K1895" s="3" t="s">
        <v>38</v>
      </c>
    </row>
    <row r="1896" spans="1:11" ht="42" customHeight="1">
      <c r="A1896" s="2" t="s">
        <v>4638</v>
      </c>
      <c r="B1896" s="2" t="s">
        <v>4639</v>
      </c>
      <c r="C1896" s="2" t="s">
        <v>17</v>
      </c>
      <c r="D1896" s="2" t="s">
        <v>18</v>
      </c>
      <c r="E1896" s="5">
        <v>-29925</v>
      </c>
      <c r="F1896" s="3" t="s">
        <v>447</v>
      </c>
      <c r="G1896" s="3" t="s">
        <v>106</v>
      </c>
      <c r="H1896" s="2" t="s">
        <v>36</v>
      </c>
      <c r="I1896" s="2" t="s">
        <v>4640</v>
      </c>
      <c r="J1896" s="3" t="str">
        <f>HYPERLINK("https://www.boe.es/gazeta/dias/1818/01/24/pdfs/GMD-1818-11.pdf#page=5","Abrir facsímil")</f>
        <v>Abrir facsímil</v>
      </c>
      <c r="K1896" s="3" t="s">
        <v>38</v>
      </c>
    </row>
    <row r="1897" spans="1:11" ht="42" customHeight="1">
      <c r="A1897" s="2" t="s">
        <v>4641</v>
      </c>
      <c r="B1897" s="2" t="s">
        <v>4642</v>
      </c>
      <c r="C1897" s="2" t="s">
        <v>26</v>
      </c>
      <c r="D1897" s="2" t="s">
        <v>27</v>
      </c>
      <c r="E1897" s="5">
        <v>-29638</v>
      </c>
      <c r="F1897" s="3" t="s">
        <v>307</v>
      </c>
      <c r="G1897" s="3" t="s">
        <v>2643</v>
      </c>
      <c r="H1897" s="2" t="s">
        <v>36</v>
      </c>
      <c r="I1897" s="2" t="s">
        <v>4643</v>
      </c>
      <c r="J1897" s="3" t="str">
        <f>HYPERLINK("https://www.boe.es/gazeta/dias/1818/11/07/pdfs/GMD-1818-135.pdf#page=6","Abrir facsímil")</f>
        <v>Abrir facsímil</v>
      </c>
      <c r="K1897" s="3" t="s">
        <v>38</v>
      </c>
    </row>
    <row r="1898" spans="1:11" ht="42" customHeight="1">
      <c r="A1898" s="2" t="s">
        <v>4644</v>
      </c>
      <c r="B1898" s="2" t="s">
        <v>4645</v>
      </c>
      <c r="C1898" s="2" t="s">
        <v>215</v>
      </c>
      <c r="D1898" s="2" t="s">
        <v>18</v>
      </c>
      <c r="E1898" s="5">
        <v>-29803</v>
      </c>
      <c r="F1898" s="3" t="s">
        <v>1393</v>
      </c>
      <c r="G1898" s="3" t="s">
        <v>45</v>
      </c>
      <c r="H1898" s="2" t="s">
        <v>36</v>
      </c>
      <c r="I1898" s="2" t="s">
        <v>4646</v>
      </c>
      <c r="J1898" s="3" t="str">
        <f>HYPERLINK("https://www.boe.es/gazeta/dias/1818/05/26/pdfs/GMD-1818-63.pdf#page=8","Abrir facsímil")</f>
        <v>Abrir facsímil</v>
      </c>
      <c r="K1898" s="3" t="s">
        <v>38</v>
      </c>
    </row>
    <row r="1899" spans="1:11" ht="42" customHeight="1">
      <c r="A1899" s="2" t="s">
        <v>4647</v>
      </c>
      <c r="B1899" s="2" t="s">
        <v>4648</v>
      </c>
      <c r="C1899" s="2" t="s">
        <v>215</v>
      </c>
      <c r="D1899" s="2" t="s">
        <v>18</v>
      </c>
      <c r="E1899" s="5">
        <v>-29880</v>
      </c>
      <c r="F1899" s="3" t="s">
        <v>359</v>
      </c>
      <c r="G1899" s="3" t="s">
        <v>1221</v>
      </c>
      <c r="H1899" s="2" t="s">
        <v>36</v>
      </c>
      <c r="I1899" s="2" t="s">
        <v>4649</v>
      </c>
      <c r="J1899" s="3" t="str">
        <f>HYPERLINK("https://www.boe.es/gazeta/dias/1818/03/10/pdfs/GMD-1818-30.pdf#page=8","Abrir facsímil")</f>
        <v>Abrir facsímil</v>
      </c>
      <c r="K1899" s="3" t="s">
        <v>38</v>
      </c>
    </row>
    <row r="1900" spans="1:11" ht="42" customHeight="1">
      <c r="A1900" s="2" t="s">
        <v>4647</v>
      </c>
      <c r="B1900" s="2" t="s">
        <v>4648</v>
      </c>
      <c r="C1900" s="2" t="s">
        <v>215</v>
      </c>
      <c r="D1900" s="2" t="s">
        <v>18</v>
      </c>
      <c r="E1900" s="5">
        <v>-29677</v>
      </c>
      <c r="F1900" s="3" t="s">
        <v>157</v>
      </c>
      <c r="G1900" s="3" t="s">
        <v>158</v>
      </c>
      <c r="H1900" s="2" t="s">
        <v>36</v>
      </c>
      <c r="I1900" s="2" t="s">
        <v>4650</v>
      </c>
      <c r="J1900" s="3" t="str">
        <f>HYPERLINK("https://www.boe.es/gazeta/dias/1818/09/29/pdfs/GMD-1818-117.pdf#page=8","Abrir facsímil")</f>
        <v>Abrir facsímil</v>
      </c>
      <c r="K1900" s="3" t="s">
        <v>38</v>
      </c>
    </row>
    <row r="1901" spans="1:11" ht="42" customHeight="1">
      <c r="A1901" s="2" t="s">
        <v>4651</v>
      </c>
      <c r="B1901" s="2" t="s">
        <v>4652</v>
      </c>
      <c r="C1901" s="2" t="s">
        <v>33</v>
      </c>
      <c r="D1901" s="2" t="s">
        <v>18</v>
      </c>
      <c r="E1901" s="5">
        <v>-29880</v>
      </c>
      <c r="F1901" s="3" t="s">
        <v>359</v>
      </c>
      <c r="G1901" s="3" t="s">
        <v>20</v>
      </c>
      <c r="H1901" s="2" t="s">
        <v>36</v>
      </c>
      <c r="I1901" s="2" t="s">
        <v>4653</v>
      </c>
      <c r="J1901" s="3" t="str">
        <f>HYPERLINK("https://www.boe.es/gazeta/dias/1818/03/10/pdfs/GMD-1818-30.pdf#page=7","Abrir facsímil")</f>
        <v>Abrir facsímil</v>
      </c>
      <c r="K1901" s="3" t="s">
        <v>38</v>
      </c>
    </row>
    <row r="1902" spans="1:11" ht="42" customHeight="1">
      <c r="A1902" s="2" t="s">
        <v>4654</v>
      </c>
      <c r="B1902" s="2" t="s">
        <v>4655</v>
      </c>
      <c r="C1902" s="2" t="s">
        <v>26</v>
      </c>
      <c r="D1902" s="2" t="s">
        <v>27</v>
      </c>
      <c r="E1902" s="5">
        <v>-29887</v>
      </c>
      <c r="F1902" s="3" t="s">
        <v>613</v>
      </c>
      <c r="G1902" s="3" t="s">
        <v>59</v>
      </c>
      <c r="H1902" s="2" t="s">
        <v>36</v>
      </c>
      <c r="I1902" s="2" t="s">
        <v>4656</v>
      </c>
      <c r="J1902" s="3" t="str">
        <f>HYPERLINK("https://www.boe.es/gazeta/dias/1818/03/03/pdfs/GMD-1818-27.pdf#page=6","Abrir facsímil")</f>
        <v>Abrir facsímil</v>
      </c>
      <c r="K1902" s="3" t="s">
        <v>38</v>
      </c>
    </row>
    <row r="1903" spans="1:11" ht="42" customHeight="1">
      <c r="A1903" s="2" t="s">
        <v>4657</v>
      </c>
      <c r="B1903" s="2" t="s">
        <v>4658</v>
      </c>
      <c r="C1903" s="2" t="s">
        <v>26</v>
      </c>
      <c r="D1903" s="2" t="s">
        <v>27</v>
      </c>
      <c r="E1903" s="5">
        <v>-29677</v>
      </c>
      <c r="F1903" s="3" t="s">
        <v>157</v>
      </c>
      <c r="G1903" s="3" t="s">
        <v>20</v>
      </c>
      <c r="H1903" s="2" t="s">
        <v>36</v>
      </c>
      <c r="I1903" s="2" t="s">
        <v>4659</v>
      </c>
      <c r="J1903" s="3" t="str">
        <f>HYPERLINK("https://www.boe.es/gazeta/dias/1818/09/29/pdfs/GMD-1818-117.pdf#page=7","Abrir facsímil")</f>
        <v>Abrir facsímil</v>
      </c>
      <c r="K1903" s="3" t="s">
        <v>38</v>
      </c>
    </row>
    <row r="1904" spans="1:11" ht="42" customHeight="1">
      <c r="A1904" s="2" t="s">
        <v>4660</v>
      </c>
      <c r="B1904" s="2" t="s">
        <v>4661</v>
      </c>
      <c r="C1904" s="2" t="s">
        <v>26</v>
      </c>
      <c r="D1904" s="2" t="s">
        <v>27</v>
      </c>
      <c r="E1904" s="5">
        <v>-29920</v>
      </c>
      <c r="F1904" s="3" t="s">
        <v>201</v>
      </c>
      <c r="G1904" s="3" t="s">
        <v>106</v>
      </c>
      <c r="H1904" s="2" t="s">
        <v>36</v>
      </c>
      <c r="I1904" s="2" t="s">
        <v>4662</v>
      </c>
      <c r="J1904" s="3" t="str">
        <f>HYPERLINK("https://www.boe.es/gazeta/dias/1818/01/29/pdfs/GMD-1818-13.pdf#page=5","Abrir facsímil")</f>
        <v>Abrir facsímil</v>
      </c>
      <c r="K1904" s="3" t="s">
        <v>38</v>
      </c>
    </row>
    <row r="1905" spans="1:11" ht="42" customHeight="1">
      <c r="A1905" s="2" t="s">
        <v>4663</v>
      </c>
      <c r="B1905" s="2" t="s">
        <v>4664</v>
      </c>
      <c r="C1905" s="2" t="s">
        <v>97</v>
      </c>
      <c r="D1905" s="2" t="s">
        <v>18</v>
      </c>
      <c r="E1905" s="5">
        <v>-29726</v>
      </c>
      <c r="F1905" s="3" t="s">
        <v>70</v>
      </c>
      <c r="G1905" s="3" t="s">
        <v>71</v>
      </c>
      <c r="H1905" s="2" t="s">
        <v>36</v>
      </c>
      <c r="I1905" s="2" t="s">
        <v>4665</v>
      </c>
      <c r="J1905" s="3" t="str">
        <f>HYPERLINK("https://www.boe.es/gazeta/dias/1818/08/11/pdfs/GMD-1818-96.pdf#page=16","Abrir facsímil")</f>
        <v>Abrir facsímil</v>
      </c>
      <c r="K1905" s="3" t="s">
        <v>38</v>
      </c>
    </row>
    <row r="1906" spans="1:11" ht="42" customHeight="1">
      <c r="A1906" s="2" t="s">
        <v>4666</v>
      </c>
      <c r="B1906" s="2" t="s">
        <v>4667</v>
      </c>
      <c r="C1906" s="2" t="s">
        <v>26</v>
      </c>
      <c r="D1906" s="2" t="s">
        <v>27</v>
      </c>
      <c r="E1906" s="5">
        <v>-29855</v>
      </c>
      <c r="F1906" s="3" t="s">
        <v>676</v>
      </c>
      <c r="G1906" s="3" t="s">
        <v>59</v>
      </c>
      <c r="H1906" s="2" t="s">
        <v>36</v>
      </c>
      <c r="I1906" s="2" t="s">
        <v>4668</v>
      </c>
      <c r="J1906" s="3" t="str">
        <f>HYPERLINK("https://www.boe.es/gazeta/dias/1818/04/04/pdfs/GMD-1818-41.pdf#page=6","Abrir facsímil")</f>
        <v>Abrir facsímil</v>
      </c>
      <c r="K1906" s="3" t="s">
        <v>38</v>
      </c>
    </row>
    <row r="1907" spans="1:11" ht="42" customHeight="1">
      <c r="A1907" s="2" t="s">
        <v>4669</v>
      </c>
      <c r="B1907" s="2" t="s">
        <v>4670</v>
      </c>
      <c r="C1907" s="2" t="s">
        <v>26</v>
      </c>
      <c r="D1907" s="2" t="s">
        <v>27</v>
      </c>
      <c r="E1907" s="5">
        <v>-29761</v>
      </c>
      <c r="F1907" s="3" t="s">
        <v>168</v>
      </c>
      <c r="G1907" s="3" t="s">
        <v>3532</v>
      </c>
      <c r="H1907" s="2" t="s">
        <v>36</v>
      </c>
      <c r="I1907" s="2" t="s">
        <v>4671</v>
      </c>
      <c r="J1907" s="3" t="str">
        <f>HYPERLINK("https://www.boe.es/gazeta/dias/1818/07/07/pdfs/GMD-1818-81.pdf#page=6","Abrir facsímil")</f>
        <v>Abrir facsímil</v>
      </c>
      <c r="K1907" s="3" t="s">
        <v>38</v>
      </c>
    </row>
    <row r="1908" spans="1:11" ht="42" customHeight="1">
      <c r="A1908" s="2" t="s">
        <v>4669</v>
      </c>
      <c r="B1908" s="2" t="s">
        <v>4670</v>
      </c>
      <c r="C1908" s="2" t="s">
        <v>26</v>
      </c>
      <c r="D1908" s="2" t="s">
        <v>27</v>
      </c>
      <c r="E1908" s="5">
        <v>-29761</v>
      </c>
      <c r="F1908" s="3" t="s">
        <v>168</v>
      </c>
      <c r="G1908" s="3" t="s">
        <v>20</v>
      </c>
      <c r="H1908" s="2" t="s">
        <v>36</v>
      </c>
      <c r="I1908" s="2" t="s">
        <v>4672</v>
      </c>
      <c r="J1908" s="3" t="str">
        <f>HYPERLINK("https://www.boe.es/gazeta/dias/1818/07/07/pdfs/GMD-1818-81.pdf#page=7","Abrir facsímil")</f>
        <v>Abrir facsímil</v>
      </c>
      <c r="K1908" s="3" t="s">
        <v>38</v>
      </c>
    </row>
    <row r="1909" spans="1:11" ht="42" customHeight="1">
      <c r="A1909" s="2" t="s">
        <v>4673</v>
      </c>
      <c r="B1909" s="2" t="s">
        <v>4674</v>
      </c>
      <c r="C1909" s="2" t="s">
        <v>26</v>
      </c>
      <c r="D1909" s="2" t="s">
        <v>27</v>
      </c>
      <c r="E1909" s="5">
        <v>-29682</v>
      </c>
      <c r="F1909" s="3" t="s">
        <v>170</v>
      </c>
      <c r="G1909" s="3" t="s">
        <v>106</v>
      </c>
      <c r="H1909" s="2" t="s">
        <v>36</v>
      </c>
      <c r="I1909" s="2" t="s">
        <v>4675</v>
      </c>
      <c r="J1909" s="3" t="str">
        <f>HYPERLINK("https://www.boe.es/gazeta/dias/1818/09/24/pdfs/GMD-1818-115.pdf#page=5","Abrir facsímil")</f>
        <v>Abrir facsímil</v>
      </c>
      <c r="K1909" s="3" t="s">
        <v>38</v>
      </c>
    </row>
    <row r="1910" spans="1:11" ht="42" customHeight="1">
      <c r="A1910" s="2" t="s">
        <v>4676</v>
      </c>
      <c r="B1910" s="2" t="s">
        <v>4677</v>
      </c>
      <c r="C1910" s="2" t="s">
        <v>26</v>
      </c>
      <c r="D1910" s="2" t="s">
        <v>27</v>
      </c>
      <c r="E1910" s="5">
        <v>-29596</v>
      </c>
      <c r="F1910" s="3" t="s">
        <v>555</v>
      </c>
      <c r="G1910" s="3" t="s">
        <v>106</v>
      </c>
      <c r="H1910" s="2" t="s">
        <v>36</v>
      </c>
      <c r="I1910" s="2" t="s">
        <v>4678</v>
      </c>
      <c r="J1910" s="3" t="str">
        <f>HYPERLINK("https://www.boe.es/gazeta/dias/1818/12/19/pdfs/GMD-1818-153.pdf#page=5","Abrir facsímil")</f>
        <v>Abrir facsímil</v>
      </c>
      <c r="K1910" s="3" t="s">
        <v>38</v>
      </c>
    </row>
    <row r="1911" spans="1:11" ht="42" customHeight="1">
      <c r="A1911" s="2" t="s">
        <v>4679</v>
      </c>
      <c r="B1911" s="2" t="s">
        <v>4680</v>
      </c>
      <c r="C1911" s="2" t="s">
        <v>26</v>
      </c>
      <c r="D1911" s="2" t="s">
        <v>27</v>
      </c>
      <c r="E1911" s="5">
        <v>-29759</v>
      </c>
      <c r="F1911" s="3" t="s">
        <v>405</v>
      </c>
      <c r="G1911" s="3" t="s">
        <v>45</v>
      </c>
      <c r="H1911" s="2" t="s">
        <v>36</v>
      </c>
      <c r="I1911" s="2" t="s">
        <v>4681</v>
      </c>
      <c r="J1911" s="3" t="str">
        <f>HYPERLINK("https://www.boe.es/gazeta/dias/1818/07/09/pdfs/GMD-1818-82.pdf#page=8","Abrir facsímil")</f>
        <v>Abrir facsímil</v>
      </c>
      <c r="K1911" s="3" t="s">
        <v>38</v>
      </c>
    </row>
    <row r="1912" spans="1:11" ht="42" customHeight="1">
      <c r="A1912" s="2" t="s">
        <v>4682</v>
      </c>
      <c r="B1912" s="2" t="s">
        <v>4683</v>
      </c>
      <c r="C1912" s="2" t="s">
        <v>33</v>
      </c>
      <c r="D1912" s="2" t="s">
        <v>18</v>
      </c>
      <c r="E1912" s="5">
        <v>-29913</v>
      </c>
      <c r="F1912" s="3" t="s">
        <v>449</v>
      </c>
      <c r="G1912" s="3" t="s">
        <v>45</v>
      </c>
      <c r="H1912" s="2" t="s">
        <v>36</v>
      </c>
      <c r="I1912" s="2" t="s">
        <v>4684</v>
      </c>
      <c r="J1912" s="3" t="str">
        <f>HYPERLINK("https://www.boe.es/gazeta/dias/1818/02/05/pdfs/GMD-1818-16.pdf#page=8","Abrir facsímil")</f>
        <v>Abrir facsímil</v>
      </c>
      <c r="K1912" s="3" t="s">
        <v>38</v>
      </c>
    </row>
    <row r="1913" spans="1:11" ht="42" customHeight="1">
      <c r="A1913" s="2" t="s">
        <v>4685</v>
      </c>
      <c r="B1913" s="2" t="s">
        <v>4686</v>
      </c>
      <c r="C1913" s="2" t="s">
        <v>63</v>
      </c>
      <c r="D1913" s="2" t="s">
        <v>18</v>
      </c>
      <c r="E1913" s="5">
        <v>-29633</v>
      </c>
      <c r="F1913" s="3" t="s">
        <v>2162</v>
      </c>
      <c r="G1913" s="3" t="s">
        <v>20</v>
      </c>
      <c r="H1913" s="2" t="s">
        <v>36</v>
      </c>
      <c r="I1913" s="2" t="s">
        <v>4687</v>
      </c>
      <c r="J1913" s="3" t="str">
        <f>HYPERLINK("https://www.boe.es/gazeta/dias/1818/11/12/pdfs/GMD-1818-137.pdf#page=7","Abrir facsímil")</f>
        <v>Abrir facsímil</v>
      </c>
      <c r="K1913" s="3" t="s">
        <v>38</v>
      </c>
    </row>
    <row r="1914" spans="1:11" ht="42" customHeight="1">
      <c r="A1914" s="2" t="s">
        <v>4688</v>
      </c>
      <c r="B1914" s="2" t="s">
        <v>4689</v>
      </c>
      <c r="C1914" s="2" t="s">
        <v>33</v>
      </c>
      <c r="D1914" s="2" t="s">
        <v>18</v>
      </c>
      <c r="E1914" s="5">
        <v>-29698</v>
      </c>
      <c r="F1914" s="3" t="s">
        <v>148</v>
      </c>
      <c r="G1914" s="3" t="s">
        <v>29</v>
      </c>
      <c r="H1914" s="2" t="s">
        <v>36</v>
      </c>
      <c r="I1914" s="2" t="s">
        <v>4690</v>
      </c>
      <c r="J1914" s="3" t="str">
        <f>HYPERLINK("https://www.boe.es/gazeta/dias/1818/09/08/pdfs/GMD-1818-108.pdf#page=4","Abrir facsímil")</f>
        <v>Abrir facsímil</v>
      </c>
      <c r="K1914" s="3" t="s">
        <v>38</v>
      </c>
    </row>
    <row r="1915" spans="1:11" ht="42" customHeight="1">
      <c r="A1915" s="2" t="s">
        <v>4691</v>
      </c>
      <c r="B1915" s="2" t="s">
        <v>4692</v>
      </c>
      <c r="C1915" s="2" t="s">
        <v>68</v>
      </c>
      <c r="D1915" s="2" t="s">
        <v>69</v>
      </c>
      <c r="E1915" s="5">
        <v>-29654</v>
      </c>
      <c r="F1915" s="3" t="s">
        <v>219</v>
      </c>
      <c r="G1915" s="3" t="s">
        <v>45</v>
      </c>
      <c r="H1915" s="2" t="s">
        <v>36</v>
      </c>
      <c r="I1915" s="2" t="s">
        <v>4693</v>
      </c>
      <c r="J1915" s="3" t="str">
        <f>HYPERLINK("https://www.boe.es/gazeta/dias/1818/10/22/pdfs/GMD-1818-128.pdf#page=8","Abrir facsímil")</f>
        <v>Abrir facsímil</v>
      </c>
      <c r="K1915" s="3" t="s">
        <v>38</v>
      </c>
    </row>
    <row r="1916" spans="1:11" ht="42" customHeight="1">
      <c r="A1916" s="2" t="s">
        <v>4694</v>
      </c>
      <c r="B1916" s="2" t="s">
        <v>4695</v>
      </c>
      <c r="C1916" s="2" t="s">
        <v>97</v>
      </c>
      <c r="D1916" s="2" t="s">
        <v>18</v>
      </c>
      <c r="E1916" s="5">
        <v>-29729</v>
      </c>
      <c r="F1916" s="3" t="s">
        <v>488</v>
      </c>
      <c r="G1916" s="3" t="s">
        <v>489</v>
      </c>
      <c r="H1916" s="2" t="s">
        <v>36</v>
      </c>
      <c r="I1916" s="2" t="s">
        <v>4696</v>
      </c>
      <c r="J1916" s="3" t="str">
        <f>HYPERLINK("https://www.boe.es/gazeta/dias/1818/08/08/pdfs/GMD-1818-95.pdf#page=8","Abrir facsímil")</f>
        <v>Abrir facsímil</v>
      </c>
      <c r="K1916" s="3" t="s">
        <v>38</v>
      </c>
    </row>
    <row r="1917" spans="1:11" ht="42" customHeight="1">
      <c r="A1917" s="2" t="s">
        <v>4697</v>
      </c>
      <c r="B1917" s="2" t="s">
        <v>4698</v>
      </c>
      <c r="C1917" s="2" t="s">
        <v>57</v>
      </c>
      <c r="D1917" s="2" t="s">
        <v>18</v>
      </c>
      <c r="E1917" s="5">
        <v>-29712</v>
      </c>
      <c r="F1917" s="3" t="s">
        <v>1309</v>
      </c>
      <c r="G1917" s="3" t="s">
        <v>1310</v>
      </c>
      <c r="H1917" s="2" t="s">
        <v>36</v>
      </c>
      <c r="I1917" s="2" t="s">
        <v>4699</v>
      </c>
      <c r="J1917" s="3" t="str">
        <f>HYPERLINK("https://www.boe.es/gazeta/dias/1818/08/25/pdfs/GMD-1818-102.pdf#page=8","Abrir facsímil")</f>
        <v>Abrir facsímil</v>
      </c>
      <c r="K1917" s="3" t="s">
        <v>38</v>
      </c>
    </row>
    <row r="1918" spans="1:11" ht="42" customHeight="1">
      <c r="A1918" s="2" t="s">
        <v>4700</v>
      </c>
      <c r="B1918" s="2" t="s">
        <v>4701</v>
      </c>
      <c r="C1918" s="2" t="s">
        <v>26</v>
      </c>
      <c r="D1918" s="2" t="s">
        <v>27</v>
      </c>
      <c r="E1918" s="5">
        <v>-29897</v>
      </c>
      <c r="F1918" s="3" t="s">
        <v>318</v>
      </c>
      <c r="G1918" s="3" t="s">
        <v>29</v>
      </c>
      <c r="H1918" s="2" t="s">
        <v>36</v>
      </c>
      <c r="I1918" s="2" t="s">
        <v>4702</v>
      </c>
      <c r="J1918" s="3" t="str">
        <f>HYPERLINK("https://www.boe.es/gazeta/dias/1818/02/21/pdfs/GMD-1818-23.pdf#page=4","Abrir facsímil")</f>
        <v>Abrir facsímil</v>
      </c>
      <c r="K1918" s="3" t="s">
        <v>38</v>
      </c>
    </row>
    <row r="1919" spans="1:11" ht="42" customHeight="1">
      <c r="A1919" s="2" t="s">
        <v>4703</v>
      </c>
      <c r="B1919" s="2" t="s">
        <v>4704</v>
      </c>
      <c r="C1919" s="2" t="s">
        <v>215</v>
      </c>
      <c r="D1919" s="2" t="s">
        <v>18</v>
      </c>
      <c r="E1919" s="5">
        <v>-29838</v>
      </c>
      <c r="F1919" s="3" t="s">
        <v>593</v>
      </c>
      <c r="G1919" s="3" t="s">
        <v>45</v>
      </c>
      <c r="H1919" s="2" t="s">
        <v>36</v>
      </c>
      <c r="I1919" s="2" t="s">
        <v>4705</v>
      </c>
      <c r="J1919" s="3" t="str">
        <f>HYPERLINK("https://www.boe.es/gazeta/dias/1818/04/21/pdfs/GMD-1818-48.pdf#page=8","Abrir facsímil")</f>
        <v>Abrir facsímil</v>
      </c>
      <c r="K1919" s="3" t="s">
        <v>38</v>
      </c>
    </row>
    <row r="1920" spans="1:11" ht="42" customHeight="1">
      <c r="A1920" s="2" t="s">
        <v>4706</v>
      </c>
      <c r="B1920" s="2" t="s">
        <v>4707</v>
      </c>
      <c r="C1920" s="2" t="s">
        <v>97</v>
      </c>
      <c r="D1920" s="2" t="s">
        <v>18</v>
      </c>
      <c r="E1920" s="5">
        <v>-29612</v>
      </c>
      <c r="F1920" s="3" t="s">
        <v>1765</v>
      </c>
      <c r="G1920" s="3" t="s">
        <v>45</v>
      </c>
      <c r="H1920" s="2" t="s">
        <v>36</v>
      </c>
      <c r="I1920" s="2" t="s">
        <v>4708</v>
      </c>
      <c r="J1920" s="3" t="str">
        <f>HYPERLINK("https://www.boe.es/gazeta/dias/1818/12/03/pdfs/GMD-1818-146.pdf#page=8","Abrir facsímil")</f>
        <v>Abrir facsímil</v>
      </c>
      <c r="K1920" s="3" t="s">
        <v>38</v>
      </c>
    </row>
    <row r="1921" spans="1:11" ht="42" customHeight="1">
      <c r="A1921" s="2" t="s">
        <v>4709</v>
      </c>
      <c r="B1921" s="2" t="s">
        <v>4710</v>
      </c>
      <c r="C1921" s="2" t="s">
        <v>63</v>
      </c>
      <c r="D1921" s="2" t="s">
        <v>18</v>
      </c>
      <c r="E1921" s="5">
        <v>-29586</v>
      </c>
      <c r="F1921" s="3" t="s">
        <v>683</v>
      </c>
      <c r="G1921" s="3" t="s">
        <v>45</v>
      </c>
      <c r="H1921" s="2" t="s">
        <v>36</v>
      </c>
      <c r="I1921" s="2" t="s">
        <v>4711</v>
      </c>
      <c r="J1921" s="3" t="str">
        <f>HYPERLINK("https://www.boe.es/gazeta/dias/1818/12/29/pdfs/GMD-1818-158.pdf#page=8","Abrir facsímil")</f>
        <v>Abrir facsímil</v>
      </c>
      <c r="K1921" s="3" t="s">
        <v>38</v>
      </c>
    </row>
    <row r="1922" spans="1:11" ht="42" customHeight="1">
      <c r="A1922" s="2" t="s">
        <v>4712</v>
      </c>
      <c r="B1922" s="2" t="s">
        <v>4713</v>
      </c>
      <c r="C1922" s="2" t="s">
        <v>68</v>
      </c>
      <c r="D1922" s="2" t="s">
        <v>69</v>
      </c>
      <c r="E1922" s="5">
        <v>-29586</v>
      </c>
      <c r="F1922" s="3" t="s">
        <v>683</v>
      </c>
      <c r="G1922" s="3" t="s">
        <v>45</v>
      </c>
      <c r="H1922" s="2" t="s">
        <v>36</v>
      </c>
      <c r="I1922" s="2" t="s">
        <v>4714</v>
      </c>
      <c r="J1922" s="3" t="str">
        <f>HYPERLINK("https://www.boe.es/gazeta/dias/1818/12/29/pdfs/GMD-1818-158.pdf#page=8","Abrir facsímil")</f>
        <v>Abrir facsímil</v>
      </c>
      <c r="K1922" s="3" t="s">
        <v>38</v>
      </c>
    </row>
    <row r="1923" spans="1:11" ht="42" customHeight="1">
      <c r="A1923" s="2" t="s">
        <v>4715</v>
      </c>
      <c r="B1923" s="2" t="s">
        <v>4716</v>
      </c>
      <c r="C1923" s="2" t="s">
        <v>68</v>
      </c>
      <c r="D1923" s="2" t="s">
        <v>69</v>
      </c>
      <c r="E1923" s="5">
        <v>-29663</v>
      </c>
      <c r="F1923" s="3" t="s">
        <v>1011</v>
      </c>
      <c r="G1923" s="3" t="s">
        <v>106</v>
      </c>
      <c r="H1923" s="2" t="s">
        <v>36</v>
      </c>
      <c r="I1923" s="2" t="s">
        <v>4717</v>
      </c>
      <c r="J1923" s="3" t="str">
        <f>HYPERLINK("https://www.boe.es/gazeta/dias/1818/10/13/pdfs/GMD-1818-123.pdf#page=5","Abrir facsímil")</f>
        <v>Abrir facsímil</v>
      </c>
      <c r="K1923" s="3" t="s">
        <v>38</v>
      </c>
    </row>
    <row r="1924" spans="1:11" ht="42" customHeight="1">
      <c r="A1924" s="2" t="s">
        <v>4718</v>
      </c>
      <c r="B1924" s="2" t="s">
        <v>4719</v>
      </c>
      <c r="C1924" s="2" t="s">
        <v>57</v>
      </c>
      <c r="D1924" s="2" t="s">
        <v>18</v>
      </c>
      <c r="E1924" s="5">
        <v>-29785</v>
      </c>
      <c r="F1924" s="3" t="s">
        <v>1031</v>
      </c>
      <c r="G1924" s="3" t="s">
        <v>59</v>
      </c>
      <c r="H1924" s="2" t="s">
        <v>36</v>
      </c>
      <c r="I1924" s="2" t="s">
        <v>4720</v>
      </c>
      <c r="J1924" s="3" t="str">
        <f>HYPERLINK("https://www.boe.es/gazeta/dias/1818/06/13/pdfs/GMD-1818-71.pdf#page=6","Abrir facsímil")</f>
        <v>Abrir facsímil</v>
      </c>
      <c r="K1924" s="3" t="s">
        <v>38</v>
      </c>
    </row>
    <row r="1925" spans="1:11" ht="42" customHeight="1">
      <c r="A1925" s="2" t="s">
        <v>4721</v>
      </c>
      <c r="B1925" s="2" t="s">
        <v>4722</v>
      </c>
      <c r="C1925" s="2" t="s">
        <v>26</v>
      </c>
      <c r="D1925" s="2" t="s">
        <v>27</v>
      </c>
      <c r="E1925" s="5">
        <v>-29897</v>
      </c>
      <c r="F1925" s="3" t="s">
        <v>318</v>
      </c>
      <c r="G1925" s="3" t="s">
        <v>106</v>
      </c>
      <c r="H1925" s="2" t="s">
        <v>36</v>
      </c>
      <c r="I1925" s="2" t="s">
        <v>4723</v>
      </c>
      <c r="J1925" s="3" t="str">
        <f>HYPERLINK("https://www.boe.es/gazeta/dias/1818/02/21/pdfs/GMD-1818-23.pdf#page=5","Abrir facsímil")</f>
        <v>Abrir facsímil</v>
      </c>
      <c r="K1925" s="3" t="s">
        <v>38</v>
      </c>
    </row>
    <row r="1926" spans="1:11" ht="42" customHeight="1">
      <c r="A1926" s="2" t="s">
        <v>4721</v>
      </c>
      <c r="B1926" s="2" t="s">
        <v>4722</v>
      </c>
      <c r="C1926" s="2" t="s">
        <v>26</v>
      </c>
      <c r="D1926" s="2" t="s">
        <v>27</v>
      </c>
      <c r="E1926" s="5">
        <v>-29892</v>
      </c>
      <c r="F1926" s="3" t="s">
        <v>39</v>
      </c>
      <c r="G1926" s="3" t="s">
        <v>3970</v>
      </c>
      <c r="H1926" s="2" t="s">
        <v>36</v>
      </c>
      <c r="I1926" s="2" t="s">
        <v>4724</v>
      </c>
      <c r="J1926" s="3" t="str">
        <f>HYPERLINK("https://www.boe.es/gazeta/dias/1818/02/26/pdfs/GMD-1818-25.pdf#page=4","Abrir facsímil")</f>
        <v>Abrir facsímil</v>
      </c>
      <c r="K1926" s="3" t="s">
        <v>38</v>
      </c>
    </row>
    <row r="1927" spans="1:11" ht="42" customHeight="1">
      <c r="A1927" s="2" t="s">
        <v>4721</v>
      </c>
      <c r="B1927" s="2" t="s">
        <v>4722</v>
      </c>
      <c r="C1927" s="2" t="s">
        <v>26</v>
      </c>
      <c r="D1927" s="2" t="s">
        <v>27</v>
      </c>
      <c r="E1927" s="5">
        <v>-29841</v>
      </c>
      <c r="F1927" s="3" t="s">
        <v>19</v>
      </c>
      <c r="G1927" s="3" t="s">
        <v>59</v>
      </c>
      <c r="H1927" s="2" t="s">
        <v>36</v>
      </c>
      <c r="I1927" s="2" t="s">
        <v>4725</v>
      </c>
      <c r="J1927" s="3" t="str">
        <f>HYPERLINK("https://www.boe.es/gazeta/dias/1818/04/18/pdfs/GMD-1818-47.pdf#page=6","Abrir facsímil")</f>
        <v>Abrir facsímil</v>
      </c>
      <c r="K1927" s="3" t="s">
        <v>38</v>
      </c>
    </row>
    <row r="1928" spans="1:11" ht="42" customHeight="1">
      <c r="A1928" s="2" t="s">
        <v>4721</v>
      </c>
      <c r="B1928" s="2" t="s">
        <v>4722</v>
      </c>
      <c r="C1928" s="2" t="s">
        <v>26</v>
      </c>
      <c r="D1928" s="2" t="s">
        <v>27</v>
      </c>
      <c r="E1928" s="5">
        <v>-29806</v>
      </c>
      <c r="F1928" s="3" t="s">
        <v>84</v>
      </c>
      <c r="G1928" s="3" t="s">
        <v>4726</v>
      </c>
      <c r="H1928" s="2" t="s">
        <v>36</v>
      </c>
      <c r="I1928" s="2" t="s">
        <v>4727</v>
      </c>
      <c r="J1928" s="3" t="str">
        <f>HYPERLINK("https://www.boe.es/gazeta/dias/1818/05/23/pdfs/GMD-1818-62.pdf#page=5","Abrir facsímil")</f>
        <v>Abrir facsímil</v>
      </c>
      <c r="K1928" s="3" t="s">
        <v>38</v>
      </c>
    </row>
    <row r="1929" spans="1:11" ht="42" customHeight="1">
      <c r="A1929" s="2" t="s">
        <v>4721</v>
      </c>
      <c r="B1929" s="2" t="s">
        <v>4722</v>
      </c>
      <c r="C1929" s="2" t="s">
        <v>26</v>
      </c>
      <c r="D1929" s="2" t="s">
        <v>27</v>
      </c>
      <c r="E1929" s="5">
        <v>-29661</v>
      </c>
      <c r="F1929" s="3" t="s">
        <v>348</v>
      </c>
      <c r="G1929" s="3" t="s">
        <v>918</v>
      </c>
      <c r="H1929" s="2" t="s">
        <v>36</v>
      </c>
      <c r="I1929" s="2" t="s">
        <v>4728</v>
      </c>
      <c r="J1929" s="3" t="str">
        <f>HYPERLINK("https://www.boe.es/gazeta/dias/1818/10/15/pdfs/GMD-1818-124.pdf#page=4","Abrir facsímil")</f>
        <v>Abrir facsímil</v>
      </c>
      <c r="K1929" s="3" t="s">
        <v>38</v>
      </c>
    </row>
    <row r="1930" spans="1:11" ht="42" customHeight="1">
      <c r="A1930" s="2" t="s">
        <v>4721</v>
      </c>
      <c r="B1930" s="2" t="s">
        <v>4722</v>
      </c>
      <c r="C1930" s="2" t="s">
        <v>26</v>
      </c>
      <c r="D1930" s="2" t="s">
        <v>27</v>
      </c>
      <c r="E1930" s="5">
        <v>-29645</v>
      </c>
      <c r="F1930" s="3" t="s">
        <v>577</v>
      </c>
      <c r="G1930" s="3" t="s">
        <v>29</v>
      </c>
      <c r="H1930" s="2" t="s">
        <v>36</v>
      </c>
      <c r="I1930" s="2" t="s">
        <v>4729</v>
      </c>
      <c r="J1930" s="3" t="str">
        <f>HYPERLINK("https://www.boe.es/gazeta/dias/1818/10/31/pdfs/GMD-1818-132.pdf#page=4","Abrir facsímil")</f>
        <v>Abrir facsímil</v>
      </c>
      <c r="K1930" s="3" t="s">
        <v>38</v>
      </c>
    </row>
    <row r="1931" spans="1:11" ht="42" customHeight="1">
      <c r="A1931" s="2" t="s">
        <v>4730</v>
      </c>
      <c r="B1931" s="2" t="s">
        <v>4731</v>
      </c>
      <c r="C1931" s="2" t="s">
        <v>26</v>
      </c>
      <c r="D1931" s="2" t="s">
        <v>27</v>
      </c>
      <c r="E1931" s="5">
        <v>-29619</v>
      </c>
      <c r="F1931" s="3" t="s">
        <v>64</v>
      </c>
      <c r="G1931" s="3" t="s">
        <v>721</v>
      </c>
      <c r="H1931" s="2" t="s">
        <v>36</v>
      </c>
      <c r="I1931" s="2" t="s">
        <v>4732</v>
      </c>
      <c r="J1931" s="3" t="str">
        <f>HYPERLINK("https://www.boe.es/gazeta/dias/1818/11/26/pdfs/GMD-1818-143.pdf#page=5","Abrir facsímil")</f>
        <v>Abrir facsímil</v>
      </c>
      <c r="K1931" s="3" t="s">
        <v>38</v>
      </c>
    </row>
    <row r="1932" spans="1:11" ht="42" customHeight="1">
      <c r="A1932" s="2" t="s">
        <v>4721</v>
      </c>
      <c r="B1932" s="2" t="s">
        <v>4722</v>
      </c>
      <c r="C1932" s="2" t="s">
        <v>26</v>
      </c>
      <c r="D1932" s="2" t="s">
        <v>27</v>
      </c>
      <c r="E1932" s="5">
        <v>-29607</v>
      </c>
      <c r="F1932" s="3" t="s">
        <v>704</v>
      </c>
      <c r="G1932" s="3" t="s">
        <v>20</v>
      </c>
      <c r="H1932" s="2" t="s">
        <v>36</v>
      </c>
      <c r="I1932" s="2" t="s">
        <v>4733</v>
      </c>
      <c r="J1932" s="3" t="str">
        <f>HYPERLINK("https://www.boe.es/gazeta/dias/1818/12/08/pdfs/GMD-1818-148.pdf#page=7","Abrir facsímil")</f>
        <v>Abrir facsímil</v>
      </c>
      <c r="K1932" s="3" t="s">
        <v>38</v>
      </c>
    </row>
    <row r="1933" spans="1:11" ht="42" customHeight="1">
      <c r="A1933" s="2" t="s">
        <v>4734</v>
      </c>
      <c r="B1933" s="2" t="s">
        <v>4735</v>
      </c>
      <c r="C1933" s="2" t="s">
        <v>26</v>
      </c>
      <c r="D1933" s="2" t="s">
        <v>27</v>
      </c>
      <c r="E1933" s="5">
        <v>-29887</v>
      </c>
      <c r="F1933" s="3" t="s">
        <v>613</v>
      </c>
      <c r="G1933" s="3" t="s">
        <v>59</v>
      </c>
      <c r="H1933" s="2" t="s">
        <v>36</v>
      </c>
      <c r="I1933" s="2" t="s">
        <v>4736</v>
      </c>
      <c r="J1933" s="3" t="str">
        <f>HYPERLINK("https://www.boe.es/gazeta/dias/1818/03/03/pdfs/GMD-1818-27.pdf#page=6","Abrir facsímil")</f>
        <v>Abrir facsímil</v>
      </c>
      <c r="K1933" s="3" t="s">
        <v>38</v>
      </c>
    </row>
    <row r="1934" spans="1:11" ht="42" customHeight="1">
      <c r="A1934" s="2" t="s">
        <v>4737</v>
      </c>
      <c r="B1934" s="2" t="s">
        <v>4738</v>
      </c>
      <c r="C1934" s="2" t="s">
        <v>33</v>
      </c>
      <c r="D1934" s="2" t="s">
        <v>18</v>
      </c>
      <c r="E1934" s="5">
        <v>-29873</v>
      </c>
      <c r="F1934" s="3" t="s">
        <v>323</v>
      </c>
      <c r="G1934" s="3" t="s">
        <v>59</v>
      </c>
      <c r="H1934" s="2" t="s">
        <v>36</v>
      </c>
      <c r="I1934" s="2" t="s">
        <v>4739</v>
      </c>
      <c r="J1934" s="3" t="str">
        <f>HYPERLINK("https://www.boe.es/gazeta/dias/1818/03/17/pdfs/GMD-1818-33.pdf#page=6","Abrir facsímil")</f>
        <v>Abrir facsímil</v>
      </c>
      <c r="K1934" s="3" t="s">
        <v>38</v>
      </c>
    </row>
    <row r="1935" spans="1:11" ht="42" customHeight="1">
      <c r="A1935" s="2" t="s">
        <v>4737</v>
      </c>
      <c r="B1935" s="2" t="s">
        <v>4738</v>
      </c>
      <c r="C1935" s="2" t="s">
        <v>26</v>
      </c>
      <c r="D1935" s="2" t="s">
        <v>27</v>
      </c>
      <c r="E1935" s="5">
        <v>-29642</v>
      </c>
      <c r="F1935" s="3" t="s">
        <v>248</v>
      </c>
      <c r="G1935" s="3" t="s">
        <v>20</v>
      </c>
      <c r="H1935" s="2" t="s">
        <v>36</v>
      </c>
      <c r="I1935" s="2" t="s">
        <v>4740</v>
      </c>
      <c r="J1935" s="3" t="str">
        <f>HYPERLINK("https://www.boe.es/gazeta/dias/1818/11/03/pdfs/GMD-1818-133.pdf#page=7","Abrir facsímil")</f>
        <v>Abrir facsímil</v>
      </c>
      <c r="K1935" s="3" t="s">
        <v>38</v>
      </c>
    </row>
    <row r="1936" spans="1:11" ht="42" customHeight="1">
      <c r="A1936" s="2" t="s">
        <v>4741</v>
      </c>
      <c r="B1936" s="2" t="s">
        <v>4742</v>
      </c>
      <c r="C1936" s="2" t="s">
        <v>68</v>
      </c>
      <c r="D1936" s="2" t="s">
        <v>69</v>
      </c>
      <c r="E1936" s="5">
        <v>-29691</v>
      </c>
      <c r="F1936" s="3" t="s">
        <v>144</v>
      </c>
      <c r="G1936" s="3" t="s">
        <v>45</v>
      </c>
      <c r="H1936" s="2" t="s">
        <v>36</v>
      </c>
      <c r="I1936" s="2" t="s">
        <v>4743</v>
      </c>
      <c r="J1936" s="3" t="str">
        <f>HYPERLINK("https://www.boe.es/gazeta/dias/1818/09/15/pdfs/GMD-1818-111.pdf#page=8","Abrir facsímil")</f>
        <v>Abrir facsímil</v>
      </c>
      <c r="K1936" s="3" t="s">
        <v>38</v>
      </c>
    </row>
    <row r="1937" spans="1:11" ht="42" customHeight="1">
      <c r="A1937" s="2" t="s">
        <v>4744</v>
      </c>
      <c r="B1937" s="2" t="s">
        <v>4745</v>
      </c>
      <c r="C1937" s="2" t="s">
        <v>68</v>
      </c>
      <c r="D1937" s="2" t="s">
        <v>69</v>
      </c>
      <c r="E1937" s="5">
        <v>-29675</v>
      </c>
      <c r="F1937" s="3" t="s">
        <v>2314</v>
      </c>
      <c r="G1937" s="3" t="s">
        <v>45</v>
      </c>
      <c r="H1937" s="2" t="s">
        <v>36</v>
      </c>
      <c r="I1937" s="2" t="s">
        <v>4746</v>
      </c>
      <c r="J1937" s="3" t="str">
        <f>HYPERLINK("https://www.boe.es/gazeta/dias/1818/10/01/pdfs/GMD-1818-118.pdf#page=8","Abrir facsímil")</f>
        <v>Abrir facsímil</v>
      </c>
      <c r="K1937" s="3" t="s">
        <v>38</v>
      </c>
    </row>
    <row r="1938" spans="1:11" ht="42" customHeight="1">
      <c r="A1938" s="2" t="s">
        <v>4747</v>
      </c>
      <c r="B1938" s="2" t="s">
        <v>4748</v>
      </c>
      <c r="C1938" s="2" t="s">
        <v>57</v>
      </c>
      <c r="D1938" s="2" t="s">
        <v>18</v>
      </c>
      <c r="E1938" s="5">
        <v>-29673</v>
      </c>
      <c r="F1938" s="3" t="s">
        <v>1099</v>
      </c>
      <c r="G1938" s="3" t="s">
        <v>59</v>
      </c>
      <c r="H1938" s="2" t="s">
        <v>36</v>
      </c>
      <c r="I1938" s="2" t="s">
        <v>4749</v>
      </c>
      <c r="J1938" s="3" t="str">
        <f>HYPERLINK("https://www.boe.es/gazeta/dias/1818/10/03/pdfs/GMD-1818-119.pdf#page=6","Abrir facsímil")</f>
        <v>Abrir facsímil</v>
      </c>
      <c r="K1938" s="3" t="s">
        <v>38</v>
      </c>
    </row>
    <row r="1939" spans="1:11" ht="42" customHeight="1">
      <c r="A1939" s="2" t="s">
        <v>4750</v>
      </c>
      <c r="B1939" s="2" t="s">
        <v>4751</v>
      </c>
      <c r="C1939" s="2" t="s">
        <v>68</v>
      </c>
      <c r="D1939" s="2" t="s">
        <v>69</v>
      </c>
      <c r="E1939" s="5">
        <v>-29663</v>
      </c>
      <c r="F1939" s="3" t="s">
        <v>1011</v>
      </c>
      <c r="G1939" s="3" t="s">
        <v>59</v>
      </c>
      <c r="H1939" s="2" t="s">
        <v>36</v>
      </c>
      <c r="I1939" s="2" t="s">
        <v>4752</v>
      </c>
      <c r="J1939" s="3" t="str">
        <f>HYPERLINK("https://www.boe.es/gazeta/dias/1818/10/13/pdfs/GMD-1818-123.pdf#page=6","Abrir facsímil")</f>
        <v>Abrir facsímil</v>
      </c>
      <c r="K1939" s="3" t="s">
        <v>38</v>
      </c>
    </row>
    <row r="1940" spans="1:11" ht="42" customHeight="1">
      <c r="A1940" s="2" t="s">
        <v>4753</v>
      </c>
      <c r="B1940" s="2" t="s">
        <v>4754</v>
      </c>
      <c r="C1940" s="2" t="s">
        <v>26</v>
      </c>
      <c r="D1940" s="2" t="s">
        <v>27</v>
      </c>
      <c r="E1940" s="5">
        <v>-29680</v>
      </c>
      <c r="F1940" s="3" t="s">
        <v>865</v>
      </c>
      <c r="G1940" s="3" t="s">
        <v>45</v>
      </c>
      <c r="H1940" s="2" t="s">
        <v>21</v>
      </c>
      <c r="I1940" s="2" t="s">
        <v>4755</v>
      </c>
      <c r="J1940" s="3" t="str">
        <f>HYPERLINK("https://www.boe.es/gazeta/dias/1818/09/26/pdfs/GMD-1818-116.pdf#page=8","Abrir facsímil")</f>
        <v>Abrir facsímil</v>
      </c>
      <c r="K1940" s="3" t="s">
        <v>23</v>
      </c>
    </row>
    <row r="1941" spans="1:11" ht="42" customHeight="1">
      <c r="A1941" s="2" t="s">
        <v>4756</v>
      </c>
      <c r="B1941" s="2" t="s">
        <v>4757</v>
      </c>
      <c r="C1941" s="2" t="s">
        <v>26</v>
      </c>
      <c r="D1941" s="2" t="s">
        <v>27</v>
      </c>
      <c r="E1941" s="5">
        <v>-29682</v>
      </c>
      <c r="F1941" s="3" t="s">
        <v>170</v>
      </c>
      <c r="G1941" s="3" t="s">
        <v>59</v>
      </c>
      <c r="H1941" s="2" t="s">
        <v>36</v>
      </c>
      <c r="I1941" s="2" t="s">
        <v>4758</v>
      </c>
      <c r="J1941" s="3" t="str">
        <f>HYPERLINK("https://www.boe.es/gazeta/dias/1818/09/24/pdfs/GMD-1818-115.pdf#page=6","Abrir facsímil")</f>
        <v>Abrir facsímil</v>
      </c>
      <c r="K1941" s="3" t="s">
        <v>38</v>
      </c>
    </row>
    <row r="1942" spans="1:11" ht="42" customHeight="1">
      <c r="A1942" s="2" t="s">
        <v>4759</v>
      </c>
      <c r="B1942" s="2" t="s">
        <v>4760</v>
      </c>
      <c r="C1942" s="2" t="s">
        <v>68</v>
      </c>
      <c r="D1942" s="2" t="s">
        <v>69</v>
      </c>
      <c r="E1942" s="5">
        <v>-29834</v>
      </c>
      <c r="F1942" s="3" t="s">
        <v>457</v>
      </c>
      <c r="G1942" s="3" t="s">
        <v>458</v>
      </c>
      <c r="H1942" s="2" t="s">
        <v>36</v>
      </c>
      <c r="I1942" s="2" t="s">
        <v>4761</v>
      </c>
      <c r="J1942" s="3" t="str">
        <f>HYPERLINK("https://www.boe.es/gazeta/dias/1818/04/25/pdfs/GMD-1818-50.pdf#page=8","Abrir facsímil")</f>
        <v>Abrir facsímil</v>
      </c>
      <c r="K1942" s="3" t="s">
        <v>38</v>
      </c>
    </row>
    <row r="1943" spans="1:11" ht="42" customHeight="1">
      <c r="A1943" s="2" t="s">
        <v>4762</v>
      </c>
      <c r="B1943" s="2" t="s">
        <v>4762</v>
      </c>
      <c r="C1943" s="2" t="s">
        <v>68</v>
      </c>
      <c r="D1943" s="2" t="s">
        <v>69</v>
      </c>
      <c r="E1943" s="5">
        <v>-29696</v>
      </c>
      <c r="F1943" s="3" t="s">
        <v>1716</v>
      </c>
      <c r="G1943" s="3" t="s">
        <v>49</v>
      </c>
      <c r="H1943" s="2" t="s">
        <v>36</v>
      </c>
      <c r="I1943" s="2" t="s">
        <v>4763</v>
      </c>
      <c r="J1943" s="3" t="str">
        <f>HYPERLINK("https://www.boe.es/gazeta/dias/1818/09/10/pdfs/GMD-1818-109.pdf#page=1","Abrir facsímil")</f>
        <v>Abrir facsímil</v>
      </c>
      <c r="K1943" s="3" t="s">
        <v>38</v>
      </c>
    </row>
    <row r="1944" spans="1:11" ht="42" customHeight="1">
      <c r="A1944" s="2" t="s">
        <v>4764</v>
      </c>
      <c r="B1944" s="2" t="s">
        <v>4765</v>
      </c>
      <c r="C1944" s="2" t="s">
        <v>57</v>
      </c>
      <c r="D1944" s="2" t="s">
        <v>18</v>
      </c>
      <c r="E1944" s="5">
        <v>-29869</v>
      </c>
      <c r="F1944" s="3" t="s">
        <v>140</v>
      </c>
      <c r="G1944" s="3" t="s">
        <v>120</v>
      </c>
      <c r="H1944" s="2" t="s">
        <v>36</v>
      </c>
      <c r="I1944" s="2" t="s">
        <v>4766</v>
      </c>
      <c r="J1944" s="3" t="str">
        <f>HYPERLINK("https://www.boe.es/gazeta/dias/1818/03/21/pdfs/GMD-1818-35.pdf#page=2","Abrir facsímil")</f>
        <v>Abrir facsímil</v>
      </c>
      <c r="K1944" s="3" t="s">
        <v>38</v>
      </c>
    </row>
    <row r="1945" spans="1:11" ht="42" customHeight="1">
      <c r="A1945" s="2" t="s">
        <v>4767</v>
      </c>
      <c r="B1945" s="2" t="s">
        <v>4768</v>
      </c>
      <c r="C1945" s="2" t="s">
        <v>26</v>
      </c>
      <c r="D1945" s="2" t="s">
        <v>27</v>
      </c>
      <c r="E1945" s="5">
        <v>-29948</v>
      </c>
      <c r="F1945" s="3" t="s">
        <v>199</v>
      </c>
      <c r="G1945" s="3" t="s">
        <v>544</v>
      </c>
      <c r="H1945" s="2" t="s">
        <v>36</v>
      </c>
      <c r="I1945" s="2" t="s">
        <v>4769</v>
      </c>
      <c r="J1945" s="3" t="str">
        <f>HYPERLINK("https://www.boe.es/gazeta/dias/1818/01/01/pdfs/GMD-1818-1.pdf#page=6","Abrir facsímil")</f>
        <v>Abrir facsímil</v>
      </c>
      <c r="K1945" s="3" t="s">
        <v>38</v>
      </c>
    </row>
    <row r="1946" spans="1:11" ht="42" customHeight="1">
      <c r="A1946" s="2" t="s">
        <v>4767</v>
      </c>
      <c r="B1946" s="2" t="s">
        <v>4768</v>
      </c>
      <c r="C1946" s="2" t="s">
        <v>26</v>
      </c>
      <c r="D1946" s="2" t="s">
        <v>27</v>
      </c>
      <c r="E1946" s="5">
        <v>-29920</v>
      </c>
      <c r="F1946" s="3" t="s">
        <v>201</v>
      </c>
      <c r="G1946" s="3" t="s">
        <v>606</v>
      </c>
      <c r="H1946" s="2" t="s">
        <v>36</v>
      </c>
      <c r="I1946" s="2" t="s">
        <v>4770</v>
      </c>
      <c r="J1946" s="3" t="str">
        <f>HYPERLINK("https://www.boe.es/gazeta/dias/1818/01/29/pdfs/GMD-1818-13.pdf#page=15","Abrir facsímil")</f>
        <v>Abrir facsímil</v>
      </c>
      <c r="K1946" s="3" t="s">
        <v>38</v>
      </c>
    </row>
    <row r="1947" spans="1:11" ht="42" customHeight="1">
      <c r="A1947" s="2" t="s">
        <v>4767</v>
      </c>
      <c r="B1947" s="2" t="s">
        <v>4768</v>
      </c>
      <c r="C1947" s="2" t="s">
        <v>26</v>
      </c>
      <c r="D1947" s="2" t="s">
        <v>27</v>
      </c>
      <c r="E1947" s="5">
        <v>-29918</v>
      </c>
      <c r="F1947" s="3" t="s">
        <v>89</v>
      </c>
      <c r="G1947" s="3" t="s">
        <v>418</v>
      </c>
      <c r="H1947" s="2" t="s">
        <v>36</v>
      </c>
      <c r="I1947" s="2" t="s">
        <v>4771</v>
      </c>
      <c r="J1947" s="3" t="str">
        <f>HYPERLINK("https://www.boe.es/gazeta/dias/1818/01/31/pdfs/GMD-1818-14.pdf#page=9","Abrir facsímil")</f>
        <v>Abrir facsímil</v>
      </c>
      <c r="K1947" s="3" t="s">
        <v>38</v>
      </c>
    </row>
    <row r="1948" spans="1:11" ht="42" customHeight="1">
      <c r="A1948" s="2" t="s">
        <v>4767</v>
      </c>
      <c r="B1948" s="2" t="s">
        <v>4768</v>
      </c>
      <c r="C1948" s="2" t="s">
        <v>68</v>
      </c>
      <c r="D1948" s="2" t="s">
        <v>69</v>
      </c>
      <c r="E1948" s="5">
        <v>-29838</v>
      </c>
      <c r="F1948" s="3" t="s">
        <v>593</v>
      </c>
      <c r="G1948" s="3" t="s">
        <v>59</v>
      </c>
      <c r="H1948" s="2" t="s">
        <v>36</v>
      </c>
      <c r="I1948" s="2" t="s">
        <v>4772</v>
      </c>
      <c r="J1948" s="3" t="str">
        <f>HYPERLINK("https://www.boe.es/gazeta/dias/1818/04/21/pdfs/GMD-1818-48.pdf#page=6","Abrir facsímil")</f>
        <v>Abrir facsímil</v>
      </c>
      <c r="K1948" s="3" t="s">
        <v>38</v>
      </c>
    </row>
    <row r="1949" spans="1:11" ht="42" customHeight="1">
      <c r="A1949" s="2" t="s">
        <v>4773</v>
      </c>
      <c r="B1949" s="2" t="s">
        <v>4773</v>
      </c>
      <c r="C1949" s="2" t="s">
        <v>215</v>
      </c>
      <c r="D1949" s="2" t="s">
        <v>18</v>
      </c>
      <c r="E1949" s="5">
        <v>-29617</v>
      </c>
      <c r="F1949" s="3" t="s">
        <v>995</v>
      </c>
      <c r="G1949" s="3" t="s">
        <v>49</v>
      </c>
      <c r="H1949" s="2" t="s">
        <v>36</v>
      </c>
      <c r="I1949" s="2" t="s">
        <v>4774</v>
      </c>
      <c r="J1949" s="3" t="str">
        <f>HYPERLINK("https://www.boe.es/gazeta/dias/1818/11/28/pdfs/GMD-1818-144.pdf#page=1","Abrir facsímil")</f>
        <v>Abrir facsímil</v>
      </c>
      <c r="K1949" s="3" t="s">
        <v>38</v>
      </c>
    </row>
    <row r="1950" spans="1:11" ht="42" customHeight="1">
      <c r="A1950" s="2" t="s">
        <v>4775</v>
      </c>
      <c r="B1950" s="2" t="s">
        <v>4775</v>
      </c>
      <c r="C1950" s="2" t="s">
        <v>26</v>
      </c>
      <c r="D1950" s="2" t="s">
        <v>27</v>
      </c>
      <c r="E1950" s="5">
        <v>-29586</v>
      </c>
      <c r="F1950" s="3" t="s">
        <v>683</v>
      </c>
      <c r="G1950" s="3" t="s">
        <v>49</v>
      </c>
      <c r="H1950" s="2" t="s">
        <v>36</v>
      </c>
      <c r="I1950" s="2" t="s">
        <v>4776</v>
      </c>
      <c r="J1950" s="3" t="str">
        <f>HYPERLINK("https://www.boe.es/gazeta/dias/1818/12/29/pdfs/GMD-1818-158.pdf#page=1","Abrir facsímil")</f>
        <v>Abrir facsímil</v>
      </c>
      <c r="K1950" s="3" t="s">
        <v>38</v>
      </c>
    </row>
    <row r="1951" spans="1:11" ht="42" customHeight="1">
      <c r="A1951" s="2" t="s">
        <v>4777</v>
      </c>
      <c r="B1951" s="2" t="s">
        <v>4777</v>
      </c>
      <c r="C1951" s="2" t="s">
        <v>26</v>
      </c>
      <c r="D1951" s="2" t="s">
        <v>27</v>
      </c>
      <c r="E1951" s="5">
        <v>-29633</v>
      </c>
      <c r="F1951" s="3" t="s">
        <v>2162</v>
      </c>
      <c r="G1951" s="3" t="s">
        <v>120</v>
      </c>
      <c r="H1951" s="2" t="s">
        <v>36</v>
      </c>
      <c r="I1951" s="2" t="s">
        <v>4778</v>
      </c>
      <c r="J1951" s="3" t="str">
        <f>HYPERLINK("https://www.boe.es/gazeta/dias/1818/11/12/pdfs/GMD-1818-137.pdf#page=2","Abrir facsímil")</f>
        <v>Abrir facsímil</v>
      </c>
      <c r="K1951" s="3" t="s">
        <v>38</v>
      </c>
    </row>
    <row r="1952" spans="1:11" ht="42" customHeight="1">
      <c r="A1952" s="2" t="s">
        <v>4779</v>
      </c>
      <c r="B1952" s="2" t="s">
        <v>4779</v>
      </c>
      <c r="C1952" s="2" t="s">
        <v>26</v>
      </c>
      <c r="D1952" s="2" t="s">
        <v>27</v>
      </c>
      <c r="E1952" s="5">
        <v>-29752</v>
      </c>
      <c r="F1952" s="3" t="s">
        <v>165</v>
      </c>
      <c r="G1952" s="3" t="s">
        <v>120</v>
      </c>
      <c r="H1952" s="2" t="s">
        <v>36</v>
      </c>
      <c r="I1952" s="2" t="s">
        <v>4780</v>
      </c>
      <c r="J1952" s="3" t="str">
        <f>HYPERLINK("https://www.boe.es/gazeta/dias/1818/07/16/pdfs/GMD-1818-85.pdf#page=2","Abrir facsímil")</f>
        <v>Abrir facsímil</v>
      </c>
      <c r="K1952" s="3" t="s">
        <v>38</v>
      </c>
    </row>
    <row r="1953" spans="1:11" ht="42" customHeight="1">
      <c r="A1953" s="2" t="s">
        <v>4781</v>
      </c>
      <c r="B1953" s="2" t="s">
        <v>4782</v>
      </c>
      <c r="C1953" s="2" t="s">
        <v>26</v>
      </c>
      <c r="D1953" s="2" t="s">
        <v>27</v>
      </c>
      <c r="E1953" s="5">
        <v>-29939</v>
      </c>
      <c r="F1953" s="3" t="s">
        <v>110</v>
      </c>
      <c r="G1953" s="3" t="s">
        <v>111</v>
      </c>
      <c r="H1953" s="2" t="s">
        <v>36</v>
      </c>
      <c r="I1953" s="2" t="s">
        <v>4783</v>
      </c>
      <c r="J1953" s="3" t="str">
        <f>HYPERLINK("https://www.boe.es/gazeta/dias/1818/01/10/pdfs/GMD-1818-5.pdf#page=11","Abrir facsímil")</f>
        <v>Abrir facsímil</v>
      </c>
      <c r="K1953" s="3" t="s">
        <v>38</v>
      </c>
    </row>
    <row r="1954" spans="1:11" ht="42" customHeight="1">
      <c r="A1954" s="2" t="s">
        <v>4784</v>
      </c>
      <c r="B1954" s="2" t="s">
        <v>4784</v>
      </c>
      <c r="C1954" s="2" t="s">
        <v>26</v>
      </c>
      <c r="D1954" s="2" t="s">
        <v>27</v>
      </c>
      <c r="E1954" s="5">
        <v>-29738</v>
      </c>
      <c r="F1954" s="3" t="s">
        <v>263</v>
      </c>
      <c r="G1954" s="3" t="s">
        <v>59</v>
      </c>
      <c r="H1954" s="2" t="s">
        <v>36</v>
      </c>
      <c r="I1954" s="2" t="s">
        <v>4785</v>
      </c>
      <c r="J1954" s="3" t="str">
        <f>HYPERLINK("https://www.boe.es/gazeta/dias/1818/07/30/pdfs/GMD-1818-91.pdf#page=6","Abrir facsímil")</f>
        <v>Abrir facsímil</v>
      </c>
      <c r="K1954" s="3" t="s">
        <v>38</v>
      </c>
    </row>
    <row r="1955" spans="1:11" ht="42" customHeight="1">
      <c r="A1955" s="2" t="s">
        <v>4786</v>
      </c>
      <c r="B1955" s="2" t="s">
        <v>4786</v>
      </c>
      <c r="C1955" s="2" t="s">
        <v>57</v>
      </c>
      <c r="D1955" s="2" t="s">
        <v>18</v>
      </c>
      <c r="E1955" s="5">
        <v>-29666</v>
      </c>
      <c r="F1955" s="3" t="s">
        <v>258</v>
      </c>
      <c r="G1955" s="3" t="s">
        <v>85</v>
      </c>
      <c r="H1955" s="2" t="s">
        <v>36</v>
      </c>
      <c r="I1955" s="2" t="s">
        <v>4787</v>
      </c>
      <c r="J1955" s="3" t="str">
        <f>HYPERLINK("https://www.boe.es/gazeta/dias/1818/10/10/pdfs/GMD-1818-122.pdf#page=3","Abrir facsímil")</f>
        <v>Abrir facsímil</v>
      </c>
      <c r="K1955" s="3" t="s">
        <v>38</v>
      </c>
    </row>
    <row r="1956" spans="1:11" ht="42" customHeight="1">
      <c r="A1956" s="2" t="s">
        <v>4788</v>
      </c>
      <c r="B1956" s="2" t="s">
        <v>4789</v>
      </c>
      <c r="C1956" s="2" t="s">
        <v>26</v>
      </c>
      <c r="D1956" s="2" t="s">
        <v>27</v>
      </c>
      <c r="E1956" s="5">
        <v>-29852</v>
      </c>
      <c r="F1956" s="3" t="s">
        <v>327</v>
      </c>
      <c r="G1956" s="3" t="s">
        <v>45</v>
      </c>
      <c r="H1956" s="2" t="s">
        <v>36</v>
      </c>
      <c r="I1956" s="2" t="s">
        <v>4790</v>
      </c>
      <c r="J1956" s="3" t="str">
        <f>HYPERLINK("https://www.boe.es/gazeta/dias/1818/04/07/pdfs/GMD-1818-42.pdf#page=8","Abrir facsímil")</f>
        <v>Abrir facsímil</v>
      </c>
      <c r="K1956" s="3" t="s">
        <v>38</v>
      </c>
    </row>
    <row r="1957" spans="1:11" ht="42" customHeight="1">
      <c r="A1957" s="2" t="s">
        <v>4791</v>
      </c>
      <c r="B1957" s="2" t="s">
        <v>4792</v>
      </c>
      <c r="C1957" s="2" t="s">
        <v>68</v>
      </c>
      <c r="D1957" s="2" t="s">
        <v>69</v>
      </c>
      <c r="E1957" s="5">
        <v>-29694</v>
      </c>
      <c r="F1957" s="3" t="s">
        <v>528</v>
      </c>
      <c r="G1957" s="3" t="s">
        <v>45</v>
      </c>
      <c r="H1957" s="2" t="s">
        <v>36</v>
      </c>
      <c r="I1957" s="2" t="s">
        <v>4793</v>
      </c>
      <c r="J1957" s="3" t="str">
        <f>HYPERLINK("https://www.boe.es/gazeta/dias/1818/09/12/pdfs/GMD-1818-110.pdf#page=8","Abrir facsímil")</f>
        <v>Abrir facsímil</v>
      </c>
      <c r="K1957" s="3" t="s">
        <v>38</v>
      </c>
    </row>
    <row r="1958" spans="1:11" ht="42" customHeight="1">
      <c r="A1958" s="2" t="s">
        <v>4794</v>
      </c>
      <c r="B1958" s="2" t="s">
        <v>4795</v>
      </c>
      <c r="C1958" s="2" t="s">
        <v>97</v>
      </c>
      <c r="D1958" s="2" t="s">
        <v>18</v>
      </c>
      <c r="E1958" s="5">
        <v>-29827</v>
      </c>
      <c r="F1958" s="3" t="s">
        <v>280</v>
      </c>
      <c r="G1958" s="3" t="s">
        <v>20</v>
      </c>
      <c r="H1958" s="2" t="s">
        <v>36</v>
      </c>
      <c r="I1958" s="2" t="s">
        <v>4796</v>
      </c>
      <c r="J1958" s="3" t="str">
        <f>HYPERLINK("https://www.boe.es/gazeta/dias/1818/05/02/pdfs/GMD-1818-53.pdf#page=7","Abrir facsímil")</f>
        <v>Abrir facsímil</v>
      </c>
      <c r="K1958" s="3" t="s">
        <v>38</v>
      </c>
    </row>
    <row r="1959" spans="1:11" ht="42" customHeight="1">
      <c r="A1959" s="2" t="s">
        <v>4797</v>
      </c>
      <c r="B1959" s="2" t="s">
        <v>4798</v>
      </c>
      <c r="C1959" s="2" t="s">
        <v>57</v>
      </c>
      <c r="D1959" s="2" t="s">
        <v>18</v>
      </c>
      <c r="E1959" s="5">
        <v>-29612</v>
      </c>
      <c r="F1959" s="3" t="s">
        <v>1765</v>
      </c>
      <c r="G1959" s="3" t="s">
        <v>20</v>
      </c>
      <c r="H1959" s="2" t="s">
        <v>36</v>
      </c>
      <c r="I1959" s="2" t="s">
        <v>4799</v>
      </c>
      <c r="J1959" s="3" t="str">
        <f>HYPERLINK("https://www.boe.es/gazeta/dias/1818/12/03/pdfs/GMD-1818-146.pdf#page=7","Abrir facsímil")</f>
        <v>Abrir facsímil</v>
      </c>
      <c r="K1959" s="3" t="s">
        <v>38</v>
      </c>
    </row>
    <row r="1960" spans="1:11" ht="42" customHeight="1">
      <c r="A1960" s="2" t="s">
        <v>4800</v>
      </c>
      <c r="B1960" s="2" t="s">
        <v>4800</v>
      </c>
      <c r="C1960" s="2" t="s">
        <v>26</v>
      </c>
      <c r="D1960" s="2" t="s">
        <v>27</v>
      </c>
      <c r="E1960" s="5">
        <v>-29731</v>
      </c>
      <c r="F1960" s="3" t="s">
        <v>299</v>
      </c>
      <c r="G1960" s="3" t="s">
        <v>59</v>
      </c>
      <c r="H1960" s="2" t="s">
        <v>36</v>
      </c>
      <c r="I1960" s="2" t="s">
        <v>4801</v>
      </c>
      <c r="J1960" s="3" t="str">
        <f>HYPERLINK("https://www.boe.es/gazeta/dias/1818/08/06/pdfs/GMD-1818-94.pdf#page=6","Abrir facsímil")</f>
        <v>Abrir facsímil</v>
      </c>
      <c r="K1960" s="3" t="s">
        <v>38</v>
      </c>
    </row>
    <row r="1961" spans="1:11" ht="42" customHeight="1">
      <c r="A1961" s="2" t="s">
        <v>4802</v>
      </c>
      <c r="B1961" s="2" t="s">
        <v>4803</v>
      </c>
      <c r="C1961" s="2" t="s">
        <v>17</v>
      </c>
      <c r="D1961" s="2" t="s">
        <v>18</v>
      </c>
      <c r="E1961" s="5">
        <v>-29799</v>
      </c>
      <c r="F1961" s="3" t="s">
        <v>135</v>
      </c>
      <c r="G1961" s="3" t="s">
        <v>45</v>
      </c>
      <c r="H1961" s="2" t="s">
        <v>36</v>
      </c>
      <c r="I1961" s="2" t="s">
        <v>4804</v>
      </c>
      <c r="J1961" s="3" t="str">
        <f>HYPERLINK("https://www.boe.es/gazeta/dias/1818/05/30/pdfs/GMD-1818-65.pdf#page=8","Abrir facsímil")</f>
        <v>Abrir facsímil</v>
      </c>
      <c r="K1961" s="3" t="s">
        <v>38</v>
      </c>
    </row>
    <row r="1962" spans="1:11" ht="42" customHeight="1">
      <c r="A1962" s="2" t="s">
        <v>4805</v>
      </c>
      <c r="B1962" s="2" t="s">
        <v>4806</v>
      </c>
      <c r="C1962" s="2" t="s">
        <v>26</v>
      </c>
      <c r="D1962" s="2" t="s">
        <v>27</v>
      </c>
      <c r="E1962" s="5">
        <v>-29869</v>
      </c>
      <c r="F1962" s="3" t="s">
        <v>140</v>
      </c>
      <c r="G1962" s="3" t="s">
        <v>85</v>
      </c>
      <c r="H1962" s="2" t="s">
        <v>36</v>
      </c>
      <c r="I1962" s="2" t="s">
        <v>4807</v>
      </c>
      <c r="J1962" s="3" t="str">
        <f>HYPERLINK("https://www.boe.es/gazeta/dias/1818/03/21/pdfs/GMD-1818-35.pdf#page=3","Abrir facsímil")</f>
        <v>Abrir facsímil</v>
      </c>
      <c r="K1962" s="3" t="s">
        <v>38</v>
      </c>
    </row>
    <row r="1963" spans="1:11" ht="42" customHeight="1">
      <c r="A1963" s="2" t="s">
        <v>4808</v>
      </c>
      <c r="B1963" s="2" t="s">
        <v>4809</v>
      </c>
      <c r="C1963" s="2" t="s">
        <v>26</v>
      </c>
      <c r="D1963" s="2" t="s">
        <v>27</v>
      </c>
      <c r="E1963" s="5">
        <v>-29717</v>
      </c>
      <c r="F1963" s="3" t="s">
        <v>1644</v>
      </c>
      <c r="G1963" s="3" t="s">
        <v>45</v>
      </c>
      <c r="H1963" s="2" t="s">
        <v>36</v>
      </c>
      <c r="I1963" s="2" t="s">
        <v>4810</v>
      </c>
      <c r="J1963" s="3" t="str">
        <f>HYPERLINK("https://www.boe.es/gazeta/dias/1818/08/20/pdfs/GMD-1818-100.pdf#page=8","Abrir facsímil")</f>
        <v>Abrir facsímil</v>
      </c>
      <c r="K1963" s="3" t="s">
        <v>38</v>
      </c>
    </row>
    <row r="1964" spans="1:11" ht="42" customHeight="1">
      <c r="A1964" s="2" t="s">
        <v>4811</v>
      </c>
      <c r="B1964" s="2" t="s">
        <v>4812</v>
      </c>
      <c r="C1964" s="2" t="s">
        <v>63</v>
      </c>
      <c r="D1964" s="2" t="s">
        <v>18</v>
      </c>
      <c r="E1964" s="5">
        <v>-29698</v>
      </c>
      <c r="F1964" s="3" t="s">
        <v>148</v>
      </c>
      <c r="G1964" s="3" t="s">
        <v>20</v>
      </c>
      <c r="H1964" s="2" t="s">
        <v>36</v>
      </c>
      <c r="I1964" s="2" t="s">
        <v>4813</v>
      </c>
      <c r="J1964" s="3" t="str">
        <f>HYPERLINK("https://www.boe.es/gazeta/dias/1818/09/08/pdfs/GMD-1818-108.pdf#page=7","Abrir facsímil")</f>
        <v>Abrir facsímil</v>
      </c>
      <c r="K1964" s="3" t="s">
        <v>38</v>
      </c>
    </row>
    <row r="1965" spans="1:11" ht="42" customHeight="1">
      <c r="A1965" s="2" t="s">
        <v>4814</v>
      </c>
      <c r="B1965" s="2" t="s">
        <v>4815</v>
      </c>
      <c r="C1965" s="2" t="s">
        <v>26</v>
      </c>
      <c r="D1965" s="2" t="s">
        <v>27</v>
      </c>
      <c r="E1965" s="5">
        <v>-29934</v>
      </c>
      <c r="F1965" s="3" t="s">
        <v>53</v>
      </c>
      <c r="G1965" s="3" t="s">
        <v>59</v>
      </c>
      <c r="H1965" s="2" t="s">
        <v>36</v>
      </c>
      <c r="I1965" s="2" t="s">
        <v>4816</v>
      </c>
      <c r="J1965" s="3" t="str">
        <f>HYPERLINK("https://www.boe.es/gazeta/dias/1818/01/15/pdfs/GMD-1818-7.pdf#page=6","Abrir facsímil")</f>
        <v>Abrir facsímil</v>
      </c>
      <c r="K1965" s="3" t="s">
        <v>38</v>
      </c>
    </row>
    <row r="1966" spans="1:11" ht="42" customHeight="1">
      <c r="A1966" s="2" t="s">
        <v>4817</v>
      </c>
      <c r="B1966" s="2" t="s">
        <v>4818</v>
      </c>
      <c r="C1966" s="2" t="s">
        <v>63</v>
      </c>
      <c r="D1966" s="2" t="s">
        <v>18</v>
      </c>
      <c r="E1966" s="5">
        <v>-29820</v>
      </c>
      <c r="F1966" s="3" t="s">
        <v>2971</v>
      </c>
      <c r="G1966" s="3" t="s">
        <v>2972</v>
      </c>
      <c r="H1966" s="2" t="s">
        <v>36</v>
      </c>
      <c r="I1966" s="2" t="s">
        <v>4819</v>
      </c>
      <c r="J1966" s="3" t="str">
        <f>HYPERLINK("https://www.boe.es/gazeta/dias/1818/05/09/pdfs/GMD-1818-56.pdf#page=8","Abrir facsímil")</f>
        <v>Abrir facsímil</v>
      </c>
      <c r="K1966" s="3" t="s">
        <v>38</v>
      </c>
    </row>
    <row r="1967" spans="1:11" ht="42" customHeight="1">
      <c r="A1967" s="2" t="s">
        <v>4820</v>
      </c>
      <c r="B1967" s="2" t="s">
        <v>4821</v>
      </c>
      <c r="C1967" s="2" t="s">
        <v>68</v>
      </c>
      <c r="D1967" s="2" t="s">
        <v>69</v>
      </c>
      <c r="E1967" s="5">
        <v>-29829</v>
      </c>
      <c r="F1967" s="3" t="s">
        <v>44</v>
      </c>
      <c r="G1967" s="3" t="s">
        <v>45</v>
      </c>
      <c r="H1967" s="2" t="s">
        <v>36</v>
      </c>
      <c r="I1967" s="2" t="s">
        <v>4822</v>
      </c>
      <c r="J1967" s="3" t="str">
        <f>HYPERLINK("https://www.boe.es/gazeta/dias/1818/04/30/pdfs/GMD-1818-52.pdf#page=8","Abrir facsímil")</f>
        <v>Abrir facsímil</v>
      </c>
      <c r="K1967" s="3" t="s">
        <v>38</v>
      </c>
    </row>
    <row r="1968" spans="1:11" ht="42" customHeight="1">
      <c r="A1968" s="2" t="s">
        <v>4823</v>
      </c>
      <c r="B1968" s="2" t="s">
        <v>4824</v>
      </c>
      <c r="C1968" s="2" t="s">
        <v>17</v>
      </c>
      <c r="D1968" s="2" t="s">
        <v>18</v>
      </c>
      <c r="E1968" s="5">
        <v>-29829</v>
      </c>
      <c r="F1968" s="3" t="s">
        <v>44</v>
      </c>
      <c r="G1968" s="3" t="s">
        <v>45</v>
      </c>
      <c r="H1968" s="2" t="s">
        <v>36</v>
      </c>
      <c r="I1968" s="2" t="s">
        <v>4825</v>
      </c>
      <c r="J1968" s="3" t="str">
        <f>HYPERLINK("https://www.boe.es/gazeta/dias/1818/04/30/pdfs/GMD-1818-52.pdf#page=8","Abrir facsímil")</f>
        <v>Abrir facsímil</v>
      </c>
      <c r="K1968" s="3" t="s">
        <v>38</v>
      </c>
    </row>
    <row r="1969" spans="1:11" ht="42" customHeight="1">
      <c r="A1969" s="2" t="s">
        <v>4826</v>
      </c>
      <c r="B1969" s="2" t="s">
        <v>4827</v>
      </c>
      <c r="C1969" s="2" t="s">
        <v>63</v>
      </c>
      <c r="D1969" s="2" t="s">
        <v>18</v>
      </c>
      <c r="E1969" s="5">
        <v>-29691</v>
      </c>
      <c r="F1969" s="3" t="s">
        <v>144</v>
      </c>
      <c r="G1969" s="3" t="s">
        <v>45</v>
      </c>
      <c r="H1969" s="2" t="s">
        <v>36</v>
      </c>
      <c r="I1969" s="2" t="s">
        <v>4828</v>
      </c>
      <c r="J1969" s="3" t="str">
        <f>HYPERLINK("https://www.boe.es/gazeta/dias/1818/09/15/pdfs/GMD-1818-111.pdf#page=8","Abrir facsímil")</f>
        <v>Abrir facsímil</v>
      </c>
      <c r="K1969" s="3" t="s">
        <v>38</v>
      </c>
    </row>
    <row r="1970" spans="1:11" ht="42" customHeight="1">
      <c r="A1970" s="2" t="s">
        <v>4829</v>
      </c>
      <c r="B1970" s="2" t="s">
        <v>4829</v>
      </c>
      <c r="C1970" s="2" t="s">
        <v>26</v>
      </c>
      <c r="D1970" s="2" t="s">
        <v>27</v>
      </c>
      <c r="E1970" s="5">
        <v>-29724</v>
      </c>
      <c r="F1970" s="3" t="s">
        <v>370</v>
      </c>
      <c r="G1970" s="3" t="s">
        <v>29</v>
      </c>
      <c r="H1970" s="2" t="s">
        <v>36</v>
      </c>
      <c r="I1970" s="2" t="s">
        <v>4830</v>
      </c>
      <c r="J1970" s="3" t="str">
        <f>HYPERLINK("https://www.boe.es/gazeta/dias/1818/08/13/pdfs/GMD-1818-97.pdf#page=4","Abrir facsímil")</f>
        <v>Abrir facsímil</v>
      </c>
      <c r="K1970" s="3" t="s">
        <v>38</v>
      </c>
    </row>
    <row r="1971" spans="1:11" ht="42" customHeight="1">
      <c r="A1971" s="2" t="s">
        <v>4831</v>
      </c>
      <c r="B1971" s="2" t="s">
        <v>4832</v>
      </c>
      <c r="C1971" s="2" t="s">
        <v>26</v>
      </c>
      <c r="D1971" s="2" t="s">
        <v>27</v>
      </c>
      <c r="E1971" s="5">
        <v>-29932</v>
      </c>
      <c r="F1971" s="3" t="s">
        <v>34</v>
      </c>
      <c r="G1971" s="3" t="s">
        <v>106</v>
      </c>
      <c r="H1971" s="2" t="s">
        <v>36</v>
      </c>
      <c r="I1971" s="2" t="s">
        <v>4833</v>
      </c>
      <c r="J1971" s="3" t="str">
        <f>HYPERLINK("https://www.boe.es/gazeta/dias/1818/01/17/pdfs/GMD-1818-8.pdf#page=5","Abrir facsímil")</f>
        <v>Abrir facsímil</v>
      </c>
      <c r="K1971" s="3" t="s">
        <v>38</v>
      </c>
    </row>
    <row r="1972" spans="1:11" ht="42" customHeight="1">
      <c r="A1972" s="2" t="s">
        <v>4834</v>
      </c>
      <c r="B1972" s="2" t="s">
        <v>4835</v>
      </c>
      <c r="C1972" s="2" t="s">
        <v>26</v>
      </c>
      <c r="D1972" s="2" t="s">
        <v>27</v>
      </c>
      <c r="E1972" s="5">
        <v>-29591</v>
      </c>
      <c r="F1972" s="3" t="s">
        <v>1414</v>
      </c>
      <c r="G1972" s="3" t="s">
        <v>1592</v>
      </c>
      <c r="H1972" s="2" t="s">
        <v>36</v>
      </c>
      <c r="I1972" s="2" t="s">
        <v>4836</v>
      </c>
      <c r="J1972" s="3" t="str">
        <f>HYPERLINK("https://www.boe.es/gazeta/dias/1818/12/24/pdfs/GMD-1818-155.pdf#page=6","Abrir facsímil")</f>
        <v>Abrir facsímil</v>
      </c>
      <c r="K1972" s="3" t="s">
        <v>38</v>
      </c>
    </row>
    <row r="1973" spans="1:11" ht="42" customHeight="1">
      <c r="A1973" s="2" t="s">
        <v>4837</v>
      </c>
      <c r="B1973" s="2" t="s">
        <v>4838</v>
      </c>
      <c r="C1973" s="2" t="s">
        <v>26</v>
      </c>
      <c r="D1973" s="2" t="s">
        <v>27</v>
      </c>
      <c r="E1973" s="5">
        <v>-29738</v>
      </c>
      <c r="F1973" s="3" t="s">
        <v>263</v>
      </c>
      <c r="G1973" s="3" t="s">
        <v>106</v>
      </c>
      <c r="H1973" s="2" t="s">
        <v>36</v>
      </c>
      <c r="I1973" s="2" t="s">
        <v>4839</v>
      </c>
      <c r="J1973" s="3" t="str">
        <f>HYPERLINK("https://www.boe.es/gazeta/dias/1818/07/30/pdfs/GMD-1818-91.pdf#page=5","Abrir facsímil")</f>
        <v>Abrir facsímil</v>
      </c>
      <c r="K1973" s="3" t="s">
        <v>38</v>
      </c>
    </row>
    <row r="1974" spans="1:11" ht="42" customHeight="1">
      <c r="A1974" s="2" t="s">
        <v>4840</v>
      </c>
      <c r="B1974" s="2" t="s">
        <v>4841</v>
      </c>
      <c r="C1974" s="2" t="s">
        <v>33</v>
      </c>
      <c r="D1974" s="2" t="s">
        <v>18</v>
      </c>
      <c r="E1974" s="5">
        <v>-29883</v>
      </c>
      <c r="F1974" s="3" t="s">
        <v>823</v>
      </c>
      <c r="G1974" s="3" t="s">
        <v>45</v>
      </c>
      <c r="H1974" s="2" t="s">
        <v>36</v>
      </c>
      <c r="I1974" s="2" t="s">
        <v>4842</v>
      </c>
      <c r="J1974" s="3" t="str">
        <f>HYPERLINK("https://www.boe.es/gazeta/dias/1818/03/07/pdfs/GMD-1818-29.pdf#page=8","Abrir facsímil")</f>
        <v>Abrir facsímil</v>
      </c>
      <c r="K1974" s="3" t="s">
        <v>38</v>
      </c>
    </row>
    <row r="1975" spans="1:11" ht="42" customHeight="1">
      <c r="A1975" s="2" t="s">
        <v>4843</v>
      </c>
      <c r="B1975" s="2" t="s">
        <v>4844</v>
      </c>
      <c r="C1975" s="2" t="s">
        <v>17</v>
      </c>
      <c r="D1975" s="2" t="s">
        <v>18</v>
      </c>
      <c r="E1975" s="5">
        <v>-29824</v>
      </c>
      <c r="F1975" s="3" t="s">
        <v>101</v>
      </c>
      <c r="G1975" s="3" t="s">
        <v>20</v>
      </c>
      <c r="H1975" s="2" t="s">
        <v>36</v>
      </c>
      <c r="I1975" s="2" t="s">
        <v>4845</v>
      </c>
      <c r="J1975" s="3" t="str">
        <f>HYPERLINK("https://www.boe.es/gazeta/dias/1818/05/05/pdfs/GMD-1818-54.pdf#page=7","Abrir facsímil")</f>
        <v>Abrir facsímil</v>
      </c>
      <c r="K1975" s="3" t="s">
        <v>38</v>
      </c>
    </row>
    <row r="1976" spans="1:11" ht="42" customHeight="1">
      <c r="A1976" s="2" t="s">
        <v>4846</v>
      </c>
      <c r="B1976" s="2" t="s">
        <v>4847</v>
      </c>
      <c r="C1976" s="2" t="s">
        <v>57</v>
      </c>
      <c r="D1976" s="2" t="s">
        <v>18</v>
      </c>
      <c r="E1976" s="5">
        <v>-29673</v>
      </c>
      <c r="F1976" s="3" t="s">
        <v>1099</v>
      </c>
      <c r="G1976" s="3" t="s">
        <v>59</v>
      </c>
      <c r="H1976" s="2" t="s">
        <v>36</v>
      </c>
      <c r="I1976" s="2" t="s">
        <v>4848</v>
      </c>
      <c r="J1976" s="3" t="str">
        <f>HYPERLINK("https://www.boe.es/gazeta/dias/1818/10/03/pdfs/GMD-1818-119.pdf#page=6","Abrir facsímil")</f>
        <v>Abrir facsímil</v>
      </c>
      <c r="K1976" s="3" t="s">
        <v>38</v>
      </c>
    </row>
    <row r="1977" spans="1:11" ht="42" customHeight="1">
      <c r="A1977" s="2" t="s">
        <v>4849</v>
      </c>
      <c r="B1977" s="2" t="s">
        <v>4850</v>
      </c>
      <c r="C1977" s="2" t="s">
        <v>63</v>
      </c>
      <c r="D1977" s="2" t="s">
        <v>18</v>
      </c>
      <c r="E1977" s="5">
        <v>-29829</v>
      </c>
      <c r="F1977" s="3" t="s">
        <v>44</v>
      </c>
      <c r="G1977" s="3" t="s">
        <v>45</v>
      </c>
      <c r="H1977" s="2" t="s">
        <v>36</v>
      </c>
      <c r="I1977" s="2" t="s">
        <v>4851</v>
      </c>
      <c r="J1977" s="3" t="str">
        <f>HYPERLINK("https://www.boe.es/gazeta/dias/1818/04/30/pdfs/GMD-1818-52.pdf#page=8","Abrir facsímil")</f>
        <v>Abrir facsímil</v>
      </c>
      <c r="K1977" s="3" t="s">
        <v>38</v>
      </c>
    </row>
    <row r="1978" spans="1:11" ht="42" customHeight="1">
      <c r="A1978" s="2" t="s">
        <v>4852</v>
      </c>
      <c r="B1978" s="2" t="s">
        <v>4853</v>
      </c>
      <c r="C1978" s="2" t="s">
        <v>33</v>
      </c>
      <c r="D1978" s="2" t="s">
        <v>18</v>
      </c>
      <c r="E1978" s="5">
        <v>-29862</v>
      </c>
      <c r="F1978" s="3" t="s">
        <v>925</v>
      </c>
      <c r="G1978" s="3" t="s">
        <v>45</v>
      </c>
      <c r="H1978" s="2" t="s">
        <v>36</v>
      </c>
      <c r="I1978" s="2" t="s">
        <v>4854</v>
      </c>
      <c r="J1978" s="3" t="str">
        <f>HYPERLINK("https://www.boe.es/gazeta/dias/1818/03/28/pdfs/GMD-1818-38.pdf#page=8","Abrir facsímil")</f>
        <v>Abrir facsímil</v>
      </c>
      <c r="K1978" s="3" t="s">
        <v>38</v>
      </c>
    </row>
    <row r="1979" spans="1:11" ht="42" customHeight="1">
      <c r="A1979" s="2" t="s">
        <v>4855</v>
      </c>
      <c r="B1979" s="2" t="s">
        <v>4856</v>
      </c>
      <c r="C1979" s="2" t="s">
        <v>26</v>
      </c>
      <c r="D1979" s="2" t="s">
        <v>27</v>
      </c>
      <c r="E1979" s="5">
        <v>-29619</v>
      </c>
      <c r="F1979" s="3" t="s">
        <v>64</v>
      </c>
      <c r="G1979" s="3" t="s">
        <v>59</v>
      </c>
      <c r="H1979" s="2" t="s">
        <v>36</v>
      </c>
      <c r="I1979" s="2" t="s">
        <v>4857</v>
      </c>
      <c r="J1979" s="3" t="str">
        <f>HYPERLINK("https://www.boe.es/gazeta/dias/1818/11/26/pdfs/GMD-1818-143.pdf#page=6","Abrir facsímil")</f>
        <v>Abrir facsímil</v>
      </c>
      <c r="K1979" s="3" t="s">
        <v>38</v>
      </c>
    </row>
    <row r="1980" spans="1:11" ht="42" customHeight="1">
      <c r="A1980" s="2" t="s">
        <v>4858</v>
      </c>
      <c r="B1980" s="2" t="s">
        <v>4859</v>
      </c>
      <c r="C1980" s="2" t="s">
        <v>57</v>
      </c>
      <c r="D1980" s="2" t="s">
        <v>18</v>
      </c>
      <c r="E1980" s="5">
        <v>-29785</v>
      </c>
      <c r="F1980" s="3" t="s">
        <v>1031</v>
      </c>
      <c r="G1980" s="3" t="s">
        <v>59</v>
      </c>
      <c r="H1980" s="2" t="s">
        <v>36</v>
      </c>
      <c r="I1980" s="2" t="s">
        <v>4860</v>
      </c>
      <c r="J1980" s="3" t="str">
        <f>HYPERLINK("https://www.boe.es/gazeta/dias/1818/06/13/pdfs/GMD-1818-71.pdf#page=6","Abrir facsímil")</f>
        <v>Abrir facsímil</v>
      </c>
      <c r="K1980" s="3" t="s">
        <v>38</v>
      </c>
    </row>
    <row r="1981" spans="1:11" ht="42" customHeight="1">
      <c r="A1981" s="2" t="s">
        <v>4861</v>
      </c>
      <c r="B1981" s="2" t="s">
        <v>4862</v>
      </c>
      <c r="C1981" s="2" t="s">
        <v>68</v>
      </c>
      <c r="D1981" s="2" t="s">
        <v>69</v>
      </c>
      <c r="E1981" s="5">
        <v>-29799</v>
      </c>
      <c r="F1981" s="3" t="s">
        <v>135</v>
      </c>
      <c r="G1981" s="3" t="s">
        <v>45</v>
      </c>
      <c r="H1981" s="2" t="s">
        <v>36</v>
      </c>
      <c r="I1981" s="2" t="s">
        <v>4863</v>
      </c>
      <c r="J1981" s="3" t="str">
        <f>HYPERLINK("https://www.boe.es/gazeta/dias/1818/05/30/pdfs/GMD-1818-65.pdf#page=8","Abrir facsímil")</f>
        <v>Abrir facsímil</v>
      </c>
      <c r="K1981" s="3" t="s">
        <v>38</v>
      </c>
    </row>
    <row r="1982" spans="1:11" ht="42" customHeight="1">
      <c r="A1982" s="2" t="s">
        <v>4864</v>
      </c>
      <c r="B1982" s="2" t="s">
        <v>4865</v>
      </c>
      <c r="C1982" s="2" t="s">
        <v>26</v>
      </c>
      <c r="D1982" s="2" t="s">
        <v>27</v>
      </c>
      <c r="E1982" s="5">
        <v>-29684</v>
      </c>
      <c r="F1982" s="3" t="s">
        <v>311</v>
      </c>
      <c r="G1982" s="3" t="s">
        <v>59</v>
      </c>
      <c r="H1982" s="2" t="s">
        <v>36</v>
      </c>
      <c r="I1982" s="2" t="s">
        <v>4866</v>
      </c>
      <c r="J1982" s="3" t="str">
        <f>HYPERLINK("https://www.boe.es/gazeta/dias/1818/09/22/pdfs/GMD-1818-114.pdf#page=6","Abrir facsímil")</f>
        <v>Abrir facsímil</v>
      </c>
      <c r="K1982" s="3" t="s">
        <v>38</v>
      </c>
    </row>
    <row r="1983" spans="1:11" ht="42" customHeight="1">
      <c r="A1983" s="2" t="s">
        <v>4867</v>
      </c>
      <c r="B1983" s="2" t="s">
        <v>4868</v>
      </c>
      <c r="C1983" s="2" t="s">
        <v>63</v>
      </c>
      <c r="D1983" s="2" t="s">
        <v>18</v>
      </c>
      <c r="E1983" s="5">
        <v>-29619</v>
      </c>
      <c r="F1983" s="3" t="s">
        <v>64</v>
      </c>
      <c r="G1983" s="3" t="s">
        <v>20</v>
      </c>
      <c r="H1983" s="2" t="s">
        <v>21</v>
      </c>
      <c r="I1983" s="2" t="s">
        <v>4869</v>
      </c>
      <c r="J1983" s="3" t="str">
        <f>HYPERLINK("https://www.boe.es/gazeta/dias/1818/11/26/pdfs/GMD-1818-143.pdf#page=7","Abrir facsímil")</f>
        <v>Abrir facsímil</v>
      </c>
      <c r="K1983" s="3" t="s">
        <v>23</v>
      </c>
    </row>
    <row r="1984" spans="1:11" ht="42" customHeight="1">
      <c r="A1984" s="2" t="s">
        <v>4870</v>
      </c>
      <c r="B1984" s="2" t="s">
        <v>4871</v>
      </c>
      <c r="C1984" s="2" t="s">
        <v>63</v>
      </c>
      <c r="D1984" s="2" t="s">
        <v>18</v>
      </c>
      <c r="E1984" s="5">
        <v>-29829</v>
      </c>
      <c r="F1984" s="3" t="s">
        <v>44</v>
      </c>
      <c r="G1984" s="3" t="s">
        <v>45</v>
      </c>
      <c r="H1984" s="2" t="s">
        <v>36</v>
      </c>
      <c r="I1984" s="2" t="s">
        <v>4872</v>
      </c>
      <c r="J1984" s="3" t="str">
        <f>HYPERLINK("https://www.boe.es/gazeta/dias/1818/04/30/pdfs/GMD-1818-52.pdf#page=8","Abrir facsímil")</f>
        <v>Abrir facsímil</v>
      </c>
      <c r="K1984" s="3" t="s">
        <v>38</v>
      </c>
    </row>
    <row r="1985" spans="1:11" ht="42" customHeight="1">
      <c r="A1985" s="2" t="s">
        <v>4873</v>
      </c>
      <c r="B1985" s="2" t="s">
        <v>4874</v>
      </c>
      <c r="C1985" s="2" t="s">
        <v>26</v>
      </c>
      <c r="D1985" s="2" t="s">
        <v>27</v>
      </c>
      <c r="E1985" s="5">
        <v>-29666</v>
      </c>
      <c r="F1985" s="3" t="s">
        <v>258</v>
      </c>
      <c r="G1985" s="3" t="s">
        <v>59</v>
      </c>
      <c r="H1985" s="2" t="s">
        <v>36</v>
      </c>
      <c r="I1985" s="2" t="s">
        <v>4875</v>
      </c>
      <c r="J1985" s="3" t="str">
        <f>HYPERLINK("https://www.boe.es/gazeta/dias/1818/10/10/pdfs/GMD-1818-122.pdf#page=6","Abrir facsímil")</f>
        <v>Abrir facsímil</v>
      </c>
      <c r="K1985" s="3" t="s">
        <v>38</v>
      </c>
    </row>
    <row r="1986" spans="1:11" ht="42" customHeight="1">
      <c r="A1986" s="2" t="s">
        <v>4876</v>
      </c>
      <c r="B1986" s="2" t="s">
        <v>4877</v>
      </c>
      <c r="C1986" s="2" t="s">
        <v>97</v>
      </c>
      <c r="D1986" s="2" t="s">
        <v>18</v>
      </c>
      <c r="E1986" s="5">
        <v>-29862</v>
      </c>
      <c r="F1986" s="3" t="s">
        <v>925</v>
      </c>
      <c r="G1986" s="3" t="s">
        <v>45</v>
      </c>
      <c r="H1986" s="2" t="s">
        <v>36</v>
      </c>
      <c r="I1986" s="2" t="s">
        <v>4878</v>
      </c>
      <c r="J1986" s="3" t="str">
        <f>HYPERLINK("https://www.boe.es/gazeta/dias/1818/03/28/pdfs/GMD-1818-38.pdf#page=8","Abrir facsímil")</f>
        <v>Abrir facsímil</v>
      </c>
      <c r="K1986" s="3" t="s">
        <v>38</v>
      </c>
    </row>
    <row r="1987" spans="1:11" ht="42" customHeight="1">
      <c r="A1987" s="2" t="s">
        <v>4879</v>
      </c>
      <c r="B1987" s="2" t="s">
        <v>4880</v>
      </c>
      <c r="C1987" s="2" t="s">
        <v>68</v>
      </c>
      <c r="D1987" s="2" t="s">
        <v>69</v>
      </c>
      <c r="E1987" s="5">
        <v>-29915</v>
      </c>
      <c r="F1987" s="3" t="s">
        <v>429</v>
      </c>
      <c r="G1987" s="3" t="s">
        <v>45</v>
      </c>
      <c r="H1987" s="2" t="s">
        <v>21</v>
      </c>
      <c r="I1987" s="2" t="s">
        <v>4881</v>
      </c>
      <c r="J1987" s="3" t="str">
        <f>HYPERLINK("https://www.boe.es/gazeta/dias/1818/02/03/pdfs/GMD-1818-15.pdf#page=8","Abrir facsímil")</f>
        <v>Abrir facsímil</v>
      </c>
      <c r="K1987" s="3" t="s">
        <v>23</v>
      </c>
    </row>
    <row r="1988" spans="1:11" ht="42" customHeight="1">
      <c r="A1988" s="2" t="s">
        <v>4882</v>
      </c>
      <c r="B1988" s="2" t="s">
        <v>4883</v>
      </c>
      <c r="C1988" s="2" t="s">
        <v>17</v>
      </c>
      <c r="D1988" s="2" t="s">
        <v>18</v>
      </c>
      <c r="E1988" s="5">
        <v>-29698</v>
      </c>
      <c r="F1988" s="3" t="s">
        <v>148</v>
      </c>
      <c r="G1988" s="3" t="s">
        <v>20</v>
      </c>
      <c r="H1988" s="2" t="s">
        <v>36</v>
      </c>
      <c r="I1988" s="2" t="s">
        <v>4884</v>
      </c>
      <c r="J1988" s="3" t="str">
        <f>HYPERLINK("https://www.boe.es/gazeta/dias/1818/09/08/pdfs/GMD-1818-108.pdf#page=7","Abrir facsímil")</f>
        <v>Abrir facsímil</v>
      </c>
      <c r="K1988" s="3" t="s">
        <v>38</v>
      </c>
    </row>
    <row r="1989" spans="1:11" ht="42" customHeight="1">
      <c r="A1989" s="2" t="s">
        <v>4885</v>
      </c>
      <c r="B1989" s="2" t="s">
        <v>4886</v>
      </c>
      <c r="C1989" s="2" t="s">
        <v>26</v>
      </c>
      <c r="D1989" s="2" t="s">
        <v>27</v>
      </c>
      <c r="E1989" s="5">
        <v>-29925</v>
      </c>
      <c r="F1989" s="3" t="s">
        <v>447</v>
      </c>
      <c r="G1989" s="3" t="s">
        <v>59</v>
      </c>
      <c r="H1989" s="2" t="s">
        <v>36</v>
      </c>
      <c r="I1989" s="2" t="s">
        <v>4887</v>
      </c>
      <c r="J1989" s="3" t="str">
        <f>HYPERLINK("https://www.boe.es/gazeta/dias/1818/01/24/pdfs/GMD-1818-11.pdf#page=6","Abrir facsímil")</f>
        <v>Abrir facsímil</v>
      </c>
      <c r="K1989" s="3" t="s">
        <v>38</v>
      </c>
    </row>
    <row r="1990" spans="1:11" ht="42" customHeight="1">
      <c r="A1990" s="2" t="s">
        <v>4888</v>
      </c>
      <c r="B1990" s="2" t="s">
        <v>4889</v>
      </c>
      <c r="C1990" s="2" t="s">
        <v>97</v>
      </c>
      <c r="D1990" s="2" t="s">
        <v>18</v>
      </c>
      <c r="E1990" s="5">
        <v>-29782</v>
      </c>
      <c r="F1990" s="3" t="s">
        <v>226</v>
      </c>
      <c r="G1990" s="3" t="s">
        <v>20</v>
      </c>
      <c r="H1990" s="2" t="s">
        <v>36</v>
      </c>
      <c r="I1990" s="2" t="s">
        <v>4890</v>
      </c>
      <c r="J1990" s="3" t="str">
        <f>HYPERLINK("https://www.boe.es/gazeta/dias/1818/06/16/pdfs/GMD-1818-72.pdf#page=7","Abrir facsímil")</f>
        <v>Abrir facsímil</v>
      </c>
      <c r="K1990" s="3" t="s">
        <v>38</v>
      </c>
    </row>
    <row r="1991" spans="1:11" ht="42" customHeight="1">
      <c r="A1991" s="2" t="s">
        <v>4891</v>
      </c>
      <c r="B1991" s="2" t="s">
        <v>4891</v>
      </c>
      <c r="C1991" s="2" t="s">
        <v>26</v>
      </c>
      <c r="D1991" s="2" t="s">
        <v>27</v>
      </c>
      <c r="E1991" s="5">
        <v>-29915</v>
      </c>
      <c r="F1991" s="3" t="s">
        <v>429</v>
      </c>
      <c r="G1991" s="3" t="s">
        <v>1142</v>
      </c>
      <c r="H1991" s="2" t="s">
        <v>36</v>
      </c>
      <c r="I1991" s="2" t="s">
        <v>4892</v>
      </c>
      <c r="J1991" s="3" t="str">
        <f>HYPERLINK("https://www.boe.es/gazeta/dias/1818/02/03/pdfs/GMD-1818-15.pdf#page=6","Abrir facsímil")</f>
        <v>Abrir facsímil</v>
      </c>
      <c r="K1991" s="3" t="s">
        <v>38</v>
      </c>
    </row>
    <row r="1992" spans="1:11" ht="42" customHeight="1">
      <c r="A1992" s="2" t="s">
        <v>4893</v>
      </c>
      <c r="B1992" s="2" t="s">
        <v>4894</v>
      </c>
      <c r="C1992" s="2" t="s">
        <v>26</v>
      </c>
      <c r="D1992" s="2" t="s">
        <v>27</v>
      </c>
      <c r="E1992" s="5">
        <v>-29915</v>
      </c>
      <c r="F1992" s="3" t="s">
        <v>429</v>
      </c>
      <c r="G1992" s="3" t="s">
        <v>1142</v>
      </c>
      <c r="H1992" s="2" t="s">
        <v>36</v>
      </c>
      <c r="I1992" s="2" t="s">
        <v>4895</v>
      </c>
      <c r="J1992" s="3" t="str">
        <f>HYPERLINK("https://www.boe.es/gazeta/dias/1818/02/03/pdfs/GMD-1818-15.pdf#page=6","Abrir facsímil")</f>
        <v>Abrir facsímil</v>
      </c>
      <c r="K1992" s="3" t="s">
        <v>38</v>
      </c>
    </row>
    <row r="1993" spans="1:11" ht="42" customHeight="1">
      <c r="A1993" s="2" t="s">
        <v>4896</v>
      </c>
      <c r="B1993" s="2" t="s">
        <v>4897</v>
      </c>
      <c r="C1993" s="2" t="s">
        <v>17</v>
      </c>
      <c r="D1993" s="2" t="s">
        <v>18</v>
      </c>
      <c r="E1993" s="5">
        <v>-29913</v>
      </c>
      <c r="F1993" s="3" t="s">
        <v>449</v>
      </c>
      <c r="G1993" s="3" t="s">
        <v>20</v>
      </c>
      <c r="H1993" s="2" t="s">
        <v>36</v>
      </c>
      <c r="I1993" s="2" t="s">
        <v>4898</v>
      </c>
      <c r="J1993" s="3" t="str">
        <f>HYPERLINK("https://www.boe.es/gazeta/dias/1818/02/05/pdfs/GMD-1818-16.pdf#page=7","Abrir facsímil")</f>
        <v>Abrir facsímil</v>
      </c>
      <c r="K1993" s="3" t="s">
        <v>38</v>
      </c>
    </row>
    <row r="1994" spans="1:11" ht="42" customHeight="1">
      <c r="A1994" s="2" t="s">
        <v>4899</v>
      </c>
      <c r="B1994" s="2" t="s">
        <v>4900</v>
      </c>
      <c r="C1994" s="2" t="s">
        <v>57</v>
      </c>
      <c r="D1994" s="2" t="s">
        <v>18</v>
      </c>
      <c r="E1994" s="5">
        <v>-29624</v>
      </c>
      <c r="F1994" s="3" t="s">
        <v>131</v>
      </c>
      <c r="G1994" s="3" t="s">
        <v>20</v>
      </c>
      <c r="H1994" s="2" t="s">
        <v>36</v>
      </c>
      <c r="I1994" s="2" t="s">
        <v>4901</v>
      </c>
      <c r="J1994" s="3" t="str">
        <f>HYPERLINK("https://www.boe.es/gazeta/dias/1818/11/21/pdfs/GMD-1818-141.pdf#page=7","Abrir facsímil")</f>
        <v>Abrir facsímil</v>
      </c>
      <c r="K1994" s="3" t="s">
        <v>38</v>
      </c>
    </row>
    <row r="1995" spans="1:11" ht="42" customHeight="1">
      <c r="A1995" s="2" t="s">
        <v>4902</v>
      </c>
      <c r="B1995" s="2" t="s">
        <v>4903</v>
      </c>
      <c r="C1995" s="2" t="s">
        <v>26</v>
      </c>
      <c r="D1995" s="2" t="s">
        <v>27</v>
      </c>
      <c r="E1995" s="5">
        <v>-29920</v>
      </c>
      <c r="F1995" s="3" t="s">
        <v>201</v>
      </c>
      <c r="G1995" s="3" t="s">
        <v>106</v>
      </c>
      <c r="H1995" s="2" t="s">
        <v>36</v>
      </c>
      <c r="I1995" s="2" t="s">
        <v>4904</v>
      </c>
      <c r="J1995" s="3" t="str">
        <f>HYPERLINK("https://www.boe.es/gazeta/dias/1818/01/29/pdfs/GMD-1818-13.pdf#page=5","Abrir facsímil")</f>
        <v>Abrir facsímil</v>
      </c>
      <c r="K1995" s="3" t="s">
        <v>38</v>
      </c>
    </row>
    <row r="1996" spans="1:11" ht="42" customHeight="1">
      <c r="A1996" s="2" t="s">
        <v>4905</v>
      </c>
      <c r="B1996" s="2" t="s">
        <v>4906</v>
      </c>
      <c r="C1996" s="2" t="s">
        <v>26</v>
      </c>
      <c r="D1996" s="2" t="s">
        <v>27</v>
      </c>
      <c r="E1996" s="5">
        <v>-29703</v>
      </c>
      <c r="F1996" s="3" t="s">
        <v>294</v>
      </c>
      <c r="G1996" s="3" t="s">
        <v>29</v>
      </c>
      <c r="H1996" s="2" t="s">
        <v>36</v>
      </c>
      <c r="I1996" s="2" t="s">
        <v>4907</v>
      </c>
      <c r="J1996" s="3" t="str">
        <f>HYPERLINK("https://www.boe.es/gazeta/dias/1818/09/03/pdfs/GMD-1818-106.pdf#page=4","Abrir facsímil")</f>
        <v>Abrir facsímil</v>
      </c>
      <c r="K1996" s="3" t="s">
        <v>38</v>
      </c>
    </row>
    <row r="1997" spans="1:11" ht="42" customHeight="1">
      <c r="A1997" s="2" t="s">
        <v>4908</v>
      </c>
      <c r="B1997" s="2" t="s">
        <v>4909</v>
      </c>
      <c r="C1997" s="2" t="s">
        <v>17</v>
      </c>
      <c r="D1997" s="2" t="s">
        <v>18</v>
      </c>
      <c r="E1997" s="5">
        <v>-29584</v>
      </c>
      <c r="F1997" s="3" t="s">
        <v>1002</v>
      </c>
      <c r="G1997" s="3" t="s">
        <v>59</v>
      </c>
      <c r="H1997" s="2" t="s">
        <v>36</v>
      </c>
      <c r="I1997" s="2" t="s">
        <v>4910</v>
      </c>
      <c r="J1997" s="3" t="str">
        <f>HYPERLINK("https://www.boe.es/gazeta/dias/1818/12/31/pdfs/GMD-1818-159.pdf#page=6","Abrir facsímil")</f>
        <v>Abrir facsímil</v>
      </c>
      <c r="K1997" s="3" t="s">
        <v>38</v>
      </c>
    </row>
    <row r="1998" spans="1:11" ht="42" customHeight="1">
      <c r="A1998" s="2" t="s">
        <v>4911</v>
      </c>
      <c r="B1998" s="2" t="s">
        <v>4912</v>
      </c>
      <c r="C1998" s="2" t="s">
        <v>63</v>
      </c>
      <c r="D1998" s="2" t="s">
        <v>18</v>
      </c>
      <c r="E1998" s="5">
        <v>-29855</v>
      </c>
      <c r="F1998" s="3" t="s">
        <v>676</v>
      </c>
      <c r="G1998" s="3" t="s">
        <v>45</v>
      </c>
      <c r="H1998" s="2" t="s">
        <v>36</v>
      </c>
      <c r="I1998" s="2" t="s">
        <v>4913</v>
      </c>
      <c r="J1998" s="3" t="str">
        <f>HYPERLINK("https://www.boe.es/gazeta/dias/1818/04/04/pdfs/GMD-1818-41.pdf#page=8","Abrir facsímil")</f>
        <v>Abrir facsímil</v>
      </c>
      <c r="K1998" s="3" t="s">
        <v>38</v>
      </c>
    </row>
    <row r="1999" spans="1:11" ht="42" customHeight="1">
      <c r="A1999" s="2" t="s">
        <v>4914</v>
      </c>
      <c r="B1999" s="2" t="s">
        <v>4915</v>
      </c>
      <c r="C1999" s="2" t="s">
        <v>26</v>
      </c>
      <c r="D1999" s="2" t="s">
        <v>27</v>
      </c>
      <c r="E1999" s="5">
        <v>-29754</v>
      </c>
      <c r="F1999" s="3" t="s">
        <v>466</v>
      </c>
      <c r="G1999" s="3" t="s">
        <v>59</v>
      </c>
      <c r="H1999" s="2" t="s">
        <v>36</v>
      </c>
      <c r="I1999" s="2" t="s">
        <v>4916</v>
      </c>
      <c r="J1999" s="3" t="str">
        <f>HYPERLINK("https://www.boe.es/gazeta/dias/1818/07/14/pdfs/GMD-1818-84.pdf#page=6","Abrir facsímil")</f>
        <v>Abrir facsímil</v>
      </c>
      <c r="K1999" s="3" t="s">
        <v>38</v>
      </c>
    </row>
    <row r="2000" spans="1:11" ht="42" customHeight="1">
      <c r="A2000" s="2" t="s">
        <v>4917</v>
      </c>
      <c r="B2000" s="2" t="s">
        <v>4918</v>
      </c>
      <c r="C2000" s="2" t="s">
        <v>26</v>
      </c>
      <c r="D2000" s="2" t="s">
        <v>27</v>
      </c>
      <c r="E2000" s="5">
        <v>-29715</v>
      </c>
      <c r="F2000" s="3" t="s">
        <v>208</v>
      </c>
      <c r="G2000" s="3" t="s">
        <v>29</v>
      </c>
      <c r="H2000" s="2" t="s">
        <v>36</v>
      </c>
      <c r="I2000" s="2" t="s">
        <v>4919</v>
      </c>
      <c r="J2000" s="3" t="str">
        <f>HYPERLINK("https://www.boe.es/gazeta/dias/1818/08/22/pdfs/GMD-1818-101.pdf#page=4","Abrir facsímil")</f>
        <v>Abrir facsímil</v>
      </c>
      <c r="K2000" s="3" t="s">
        <v>38</v>
      </c>
    </row>
    <row r="2001" spans="1:11" ht="42" customHeight="1">
      <c r="A2001" s="2" t="s">
        <v>4920</v>
      </c>
      <c r="B2001" s="2" t="s">
        <v>4920</v>
      </c>
      <c r="C2001" s="2" t="s">
        <v>26</v>
      </c>
      <c r="D2001" s="2" t="s">
        <v>27</v>
      </c>
      <c r="E2001" s="5">
        <v>-29943</v>
      </c>
      <c r="F2001" s="3" t="s">
        <v>1837</v>
      </c>
      <c r="G2001" s="3" t="s">
        <v>2094</v>
      </c>
      <c r="H2001" s="2" t="s">
        <v>36</v>
      </c>
      <c r="I2001" s="2" t="s">
        <v>4921</v>
      </c>
      <c r="J2001" s="3" t="str">
        <f>HYPERLINK("https://www.boe.es/gazeta/dias/1818/01/06/pdfs/GMD-1818-3.pdf#page=4","Abrir facsímil")</f>
        <v>Abrir facsímil</v>
      </c>
      <c r="K2001" s="3" t="s">
        <v>38</v>
      </c>
    </row>
    <row r="2002" spans="1:11" ht="42" customHeight="1">
      <c r="A2002" s="2" t="s">
        <v>4922</v>
      </c>
      <c r="B2002" s="2" t="s">
        <v>4923</v>
      </c>
      <c r="C2002" s="2" t="s">
        <v>26</v>
      </c>
      <c r="D2002" s="2" t="s">
        <v>27</v>
      </c>
      <c r="E2002" s="5">
        <v>-29766</v>
      </c>
      <c r="F2002" s="3" t="s">
        <v>276</v>
      </c>
      <c r="G2002" s="3" t="s">
        <v>120</v>
      </c>
      <c r="H2002" s="2" t="s">
        <v>21</v>
      </c>
      <c r="I2002" s="2" t="s">
        <v>4924</v>
      </c>
      <c r="J2002" s="3" t="str">
        <f>HYPERLINK("https://www.boe.es/gazeta/dias/1818/07/02/pdfs/GMD-1818-79.pdf#page=2","Abrir facsímil")</f>
        <v>Abrir facsímil</v>
      </c>
      <c r="K2002" s="3" t="s">
        <v>23</v>
      </c>
    </row>
    <row r="2003" spans="1:11" ht="42" customHeight="1">
      <c r="A2003" s="2" t="s">
        <v>4925</v>
      </c>
      <c r="B2003" s="2" t="s">
        <v>4926</v>
      </c>
      <c r="C2003" s="2" t="s">
        <v>33</v>
      </c>
      <c r="D2003" s="2" t="s">
        <v>18</v>
      </c>
      <c r="E2003" s="5">
        <v>-29759</v>
      </c>
      <c r="F2003" s="3" t="s">
        <v>405</v>
      </c>
      <c r="G2003" s="3" t="s">
        <v>29</v>
      </c>
      <c r="H2003" s="2" t="s">
        <v>36</v>
      </c>
      <c r="I2003" s="2" t="s">
        <v>4927</v>
      </c>
      <c r="J2003" s="3" t="str">
        <f>HYPERLINK("https://www.boe.es/gazeta/dias/1818/07/09/pdfs/GMD-1818-82.pdf#page=4","Abrir facsímil")</f>
        <v>Abrir facsímil</v>
      </c>
      <c r="K2003" s="3" t="s">
        <v>38</v>
      </c>
    </row>
    <row r="2004" spans="1:11" ht="42" customHeight="1">
      <c r="A2004" s="2" t="s">
        <v>4928</v>
      </c>
      <c r="B2004" s="2" t="s">
        <v>4929</v>
      </c>
      <c r="C2004" s="2" t="s">
        <v>63</v>
      </c>
      <c r="D2004" s="2" t="s">
        <v>18</v>
      </c>
      <c r="E2004" s="5">
        <v>-29619</v>
      </c>
      <c r="F2004" s="3" t="s">
        <v>64</v>
      </c>
      <c r="G2004" s="3" t="s">
        <v>20</v>
      </c>
      <c r="H2004" s="2" t="s">
        <v>36</v>
      </c>
      <c r="I2004" s="2" t="s">
        <v>4930</v>
      </c>
      <c r="J2004" s="3" t="str">
        <f>HYPERLINK("https://www.boe.es/gazeta/dias/1818/11/26/pdfs/GMD-1818-143.pdf#page=7","Abrir facsímil")</f>
        <v>Abrir facsímil</v>
      </c>
      <c r="K2004" s="3" t="s">
        <v>38</v>
      </c>
    </row>
    <row r="2005" spans="1:11" ht="42" customHeight="1">
      <c r="A2005" s="2" t="s">
        <v>4931</v>
      </c>
      <c r="B2005" s="2" t="s">
        <v>4932</v>
      </c>
      <c r="C2005" s="2" t="s">
        <v>63</v>
      </c>
      <c r="D2005" s="2" t="s">
        <v>18</v>
      </c>
      <c r="E2005" s="5">
        <v>-29829</v>
      </c>
      <c r="F2005" s="3" t="s">
        <v>44</v>
      </c>
      <c r="G2005" s="3" t="s">
        <v>45</v>
      </c>
      <c r="H2005" s="2" t="s">
        <v>36</v>
      </c>
      <c r="I2005" s="2" t="s">
        <v>4933</v>
      </c>
      <c r="J2005" s="3" t="str">
        <f>HYPERLINK("https://www.boe.es/gazeta/dias/1818/04/30/pdfs/GMD-1818-52.pdf#page=8","Abrir facsímil")</f>
        <v>Abrir facsímil</v>
      </c>
      <c r="K2005" s="3" t="s">
        <v>38</v>
      </c>
    </row>
    <row r="2006" spans="1:11" ht="42" customHeight="1">
      <c r="A2006" s="2" t="s">
        <v>4934</v>
      </c>
      <c r="B2006" s="2" t="s">
        <v>4935</v>
      </c>
      <c r="C2006" s="2" t="s">
        <v>26</v>
      </c>
      <c r="D2006" s="2" t="s">
        <v>27</v>
      </c>
      <c r="E2006" s="5">
        <v>-29642</v>
      </c>
      <c r="F2006" s="3" t="s">
        <v>248</v>
      </c>
      <c r="G2006" s="3" t="s">
        <v>249</v>
      </c>
      <c r="H2006" s="2" t="s">
        <v>36</v>
      </c>
      <c r="I2006" s="2" t="s">
        <v>4936</v>
      </c>
      <c r="J2006" s="3" t="str">
        <f>HYPERLINK("https://www.boe.es/gazeta/dias/1818/11/03/pdfs/GMD-1818-133.pdf#page=8","Abrir facsímil")</f>
        <v>Abrir facsímil</v>
      </c>
      <c r="K2006" s="3" t="s">
        <v>38</v>
      </c>
    </row>
    <row r="2007" spans="1:11" ht="42" customHeight="1">
      <c r="A2007" s="2" t="s">
        <v>4937</v>
      </c>
      <c r="B2007" s="2" t="s">
        <v>4938</v>
      </c>
      <c r="C2007" s="2" t="s">
        <v>33</v>
      </c>
      <c r="D2007" s="2" t="s">
        <v>18</v>
      </c>
      <c r="E2007" s="5">
        <v>-29698</v>
      </c>
      <c r="F2007" s="3" t="s">
        <v>148</v>
      </c>
      <c r="G2007" s="3" t="s">
        <v>29</v>
      </c>
      <c r="H2007" s="2" t="s">
        <v>36</v>
      </c>
      <c r="I2007" s="2" t="s">
        <v>4939</v>
      </c>
      <c r="J2007" s="3" t="str">
        <f>HYPERLINK("https://www.boe.es/gazeta/dias/1818/09/08/pdfs/GMD-1818-108.pdf#page=4","Abrir facsímil")</f>
        <v>Abrir facsímil</v>
      </c>
      <c r="K2007" s="3" t="s">
        <v>38</v>
      </c>
    </row>
    <row r="2008" spans="1:11" ht="42" customHeight="1">
      <c r="A2008" s="2" t="s">
        <v>4940</v>
      </c>
      <c r="B2008" s="2" t="s">
        <v>4941</v>
      </c>
      <c r="C2008" s="2" t="s">
        <v>68</v>
      </c>
      <c r="D2008" s="2" t="s">
        <v>69</v>
      </c>
      <c r="E2008" s="5">
        <v>-29654</v>
      </c>
      <c r="F2008" s="3" t="s">
        <v>219</v>
      </c>
      <c r="G2008" s="3" t="s">
        <v>45</v>
      </c>
      <c r="H2008" s="2" t="s">
        <v>36</v>
      </c>
      <c r="I2008" s="2" t="s">
        <v>4942</v>
      </c>
      <c r="J2008" s="3" t="str">
        <f>HYPERLINK("https://www.boe.es/gazeta/dias/1818/10/22/pdfs/GMD-1818-128.pdf#page=8","Abrir facsímil")</f>
        <v>Abrir facsímil</v>
      </c>
      <c r="K2008" s="3" t="s">
        <v>38</v>
      </c>
    </row>
    <row r="2009" spans="1:11" ht="42" customHeight="1">
      <c r="A2009" s="2" t="s">
        <v>4943</v>
      </c>
      <c r="B2009" s="2" t="s">
        <v>4944</v>
      </c>
      <c r="C2009" s="2" t="s">
        <v>68</v>
      </c>
      <c r="D2009" s="2" t="s">
        <v>668</v>
      </c>
      <c r="E2009" s="5">
        <v>-29661</v>
      </c>
      <c r="F2009" s="3" t="s">
        <v>669</v>
      </c>
      <c r="G2009" s="3" t="s">
        <v>85</v>
      </c>
      <c r="H2009" s="2" t="s">
        <v>36</v>
      </c>
      <c r="I2009" s="2" t="s">
        <v>4945</v>
      </c>
      <c r="J2009" s="3" t="str">
        <f>HYPERLINK("https://www.boe.es/gazeta/dias/1818/10/15/pdfs/GMD-1818-125E.pdf#page=3","Abrir facsímil")</f>
        <v>Abrir facsímil</v>
      </c>
      <c r="K2009" s="3" t="s">
        <v>38</v>
      </c>
    </row>
    <row r="2010" spans="1:11" ht="42" customHeight="1">
      <c r="A2010" s="2" t="s">
        <v>4946</v>
      </c>
      <c r="B2010" s="2" t="s">
        <v>4947</v>
      </c>
      <c r="C2010" s="2" t="s">
        <v>68</v>
      </c>
      <c r="D2010" s="2" t="s">
        <v>69</v>
      </c>
      <c r="E2010" s="5">
        <v>-29936</v>
      </c>
      <c r="F2010" s="3" t="s">
        <v>398</v>
      </c>
      <c r="G2010" s="3" t="s">
        <v>20</v>
      </c>
      <c r="H2010" s="2" t="s">
        <v>36</v>
      </c>
      <c r="I2010" s="2" t="s">
        <v>4948</v>
      </c>
      <c r="J2010" s="3" t="str">
        <f>HYPERLINK("https://www.boe.es/gazeta/dias/1818/01/13/pdfs/GMD-1818-6.pdf#page=7","Abrir facsímil")</f>
        <v>Abrir facsímil</v>
      </c>
      <c r="K2010" s="3" t="s">
        <v>38</v>
      </c>
    </row>
    <row r="2011" spans="1:11" ht="42" customHeight="1">
      <c r="A2011" s="2" t="s">
        <v>4949</v>
      </c>
      <c r="B2011" s="2" t="s">
        <v>4950</v>
      </c>
      <c r="C2011" s="2" t="s">
        <v>26</v>
      </c>
      <c r="D2011" s="2" t="s">
        <v>27</v>
      </c>
      <c r="E2011" s="5">
        <v>-29673</v>
      </c>
      <c r="F2011" s="3" t="s">
        <v>1099</v>
      </c>
      <c r="G2011" s="3" t="s">
        <v>45</v>
      </c>
      <c r="H2011" s="2" t="s">
        <v>36</v>
      </c>
      <c r="I2011" s="2" t="s">
        <v>4951</v>
      </c>
      <c r="J2011" s="3" t="str">
        <f>HYPERLINK("https://www.boe.es/gazeta/dias/1818/10/03/pdfs/GMD-1818-119.pdf#page=8","Abrir facsímil")</f>
        <v>Abrir facsímil</v>
      </c>
      <c r="K2011" s="3" t="s">
        <v>38</v>
      </c>
    </row>
    <row r="2012" spans="1:11" ht="42" customHeight="1">
      <c r="A2012" s="2" t="s">
        <v>4952</v>
      </c>
      <c r="B2012" s="2" t="s">
        <v>4953</v>
      </c>
      <c r="C2012" s="2" t="s">
        <v>26</v>
      </c>
      <c r="D2012" s="2" t="s">
        <v>27</v>
      </c>
      <c r="E2012" s="5">
        <v>-29831</v>
      </c>
      <c r="F2012" s="3" t="s">
        <v>567</v>
      </c>
      <c r="G2012" s="3" t="s">
        <v>45</v>
      </c>
      <c r="H2012" s="2" t="s">
        <v>36</v>
      </c>
      <c r="I2012" s="2" t="s">
        <v>4954</v>
      </c>
      <c r="J2012" s="3" t="str">
        <f>HYPERLINK("https://www.boe.es/gazeta/dias/1818/04/28/pdfs/GMD-1818-51.pdf#page=8","Abrir facsímil")</f>
        <v>Abrir facsímil</v>
      </c>
      <c r="K2012" s="3" t="s">
        <v>38</v>
      </c>
    </row>
    <row r="2013" spans="1:11" ht="42" customHeight="1">
      <c r="A2013" s="2" t="s">
        <v>4955</v>
      </c>
      <c r="B2013" s="2" t="s">
        <v>4956</v>
      </c>
      <c r="C2013" s="2" t="s">
        <v>26</v>
      </c>
      <c r="D2013" s="2" t="s">
        <v>27</v>
      </c>
      <c r="E2013" s="5">
        <v>-29887</v>
      </c>
      <c r="F2013" s="3" t="s">
        <v>613</v>
      </c>
      <c r="G2013" s="3" t="s">
        <v>59</v>
      </c>
      <c r="H2013" s="2" t="s">
        <v>36</v>
      </c>
      <c r="I2013" s="2" t="s">
        <v>4957</v>
      </c>
      <c r="J2013" s="3" t="str">
        <f>HYPERLINK("https://www.boe.es/gazeta/dias/1818/03/03/pdfs/GMD-1818-27.pdf#page=6","Abrir facsímil")</f>
        <v>Abrir facsímil</v>
      </c>
      <c r="K2013" s="3" t="s">
        <v>38</v>
      </c>
    </row>
    <row r="2014" spans="1:11" ht="42" customHeight="1">
      <c r="A2014" s="2" t="s">
        <v>4958</v>
      </c>
      <c r="B2014" s="2" t="s">
        <v>4958</v>
      </c>
      <c r="C2014" s="2" t="s">
        <v>26</v>
      </c>
      <c r="D2014" s="2" t="s">
        <v>27</v>
      </c>
      <c r="E2014" s="5">
        <v>-29593</v>
      </c>
      <c r="F2014" s="3" t="s">
        <v>185</v>
      </c>
      <c r="G2014" s="3" t="s">
        <v>29</v>
      </c>
      <c r="H2014" s="2" t="s">
        <v>36</v>
      </c>
      <c r="I2014" s="2" t="s">
        <v>4959</v>
      </c>
      <c r="J2014" s="3" t="str">
        <f>HYPERLINK("https://www.boe.es/gazeta/dias/1818/12/22/pdfs/GMD-1818-154.pdf#page=4","Abrir facsímil")</f>
        <v>Abrir facsímil</v>
      </c>
      <c r="K2014" s="3" t="s">
        <v>38</v>
      </c>
    </row>
    <row r="2015" spans="1:11" ht="42" customHeight="1">
      <c r="A2015" s="2" t="s">
        <v>4960</v>
      </c>
      <c r="B2015" s="2" t="s">
        <v>4961</v>
      </c>
      <c r="C2015" s="2" t="s">
        <v>26</v>
      </c>
      <c r="D2015" s="2" t="s">
        <v>27</v>
      </c>
      <c r="E2015" s="5">
        <v>-29827</v>
      </c>
      <c r="F2015" s="3" t="s">
        <v>280</v>
      </c>
      <c r="G2015" s="3" t="s">
        <v>59</v>
      </c>
      <c r="H2015" s="2" t="s">
        <v>36</v>
      </c>
      <c r="I2015" s="2" t="s">
        <v>4962</v>
      </c>
      <c r="J2015" s="3" t="str">
        <f>HYPERLINK("https://www.boe.es/gazeta/dias/1818/05/02/pdfs/GMD-1818-53.pdf#page=6","Abrir facsímil")</f>
        <v>Abrir facsímil</v>
      </c>
      <c r="K2015" s="3" t="s">
        <v>38</v>
      </c>
    </row>
    <row r="2016" spans="1:11" ht="42" customHeight="1">
      <c r="A2016" s="2" t="s">
        <v>4963</v>
      </c>
      <c r="B2016" s="2" t="s">
        <v>4964</v>
      </c>
      <c r="C2016" s="2" t="s">
        <v>26</v>
      </c>
      <c r="D2016" s="2" t="s">
        <v>27</v>
      </c>
      <c r="E2016" s="5">
        <v>-29869</v>
      </c>
      <c r="F2016" s="3" t="s">
        <v>140</v>
      </c>
      <c r="G2016" s="3" t="s">
        <v>59</v>
      </c>
      <c r="H2016" s="2" t="s">
        <v>36</v>
      </c>
      <c r="I2016" s="2" t="s">
        <v>4965</v>
      </c>
      <c r="J2016" s="3" t="str">
        <f>HYPERLINK("https://www.boe.es/gazeta/dias/1818/03/21/pdfs/GMD-1818-35.pdf#page=6","Abrir facsímil")</f>
        <v>Abrir facsímil</v>
      </c>
      <c r="K2016" s="3" t="s">
        <v>38</v>
      </c>
    </row>
    <row r="2017" spans="1:11" ht="42" customHeight="1">
      <c r="A2017" s="2" t="s">
        <v>4966</v>
      </c>
      <c r="B2017" s="2" t="s">
        <v>4967</v>
      </c>
      <c r="C2017" s="2" t="s">
        <v>26</v>
      </c>
      <c r="D2017" s="2" t="s">
        <v>27</v>
      </c>
      <c r="E2017" s="5">
        <v>-29808</v>
      </c>
      <c r="F2017" s="3" t="s">
        <v>80</v>
      </c>
      <c r="G2017" s="3" t="s">
        <v>20</v>
      </c>
      <c r="H2017" s="2" t="s">
        <v>21</v>
      </c>
      <c r="I2017" s="2" t="s">
        <v>4968</v>
      </c>
      <c r="J2017" s="3" t="str">
        <f>HYPERLINK("https://www.boe.es/gazeta/dias/1818/05/21/pdfs/GMD-1818-61.pdf#page=7","Abrir facsímil")</f>
        <v>Abrir facsímil</v>
      </c>
      <c r="K2017" s="3" t="s">
        <v>23</v>
      </c>
    </row>
    <row r="2018" spans="1:11" ht="42" customHeight="1">
      <c r="A2018" s="2" t="s">
        <v>4969</v>
      </c>
      <c r="B2018" s="2" t="s">
        <v>4970</v>
      </c>
      <c r="C2018" s="2" t="s">
        <v>26</v>
      </c>
      <c r="D2018" s="2" t="s">
        <v>27</v>
      </c>
      <c r="E2018" s="5">
        <v>-29740</v>
      </c>
      <c r="F2018" s="3" t="s">
        <v>152</v>
      </c>
      <c r="G2018" s="3" t="s">
        <v>153</v>
      </c>
      <c r="H2018" s="2" t="s">
        <v>21</v>
      </c>
      <c r="I2018" s="2" t="s">
        <v>4971</v>
      </c>
      <c r="J2018" s="3" t="str">
        <f>HYPERLINK("https://www.boe.es/gazeta/dias/1818/07/28/pdfs/GMD-1818-90.pdf#page=6","Abrir facsímil")</f>
        <v>Abrir facsímil</v>
      </c>
      <c r="K2018" s="3" t="s">
        <v>23</v>
      </c>
    </row>
    <row r="2019" spans="1:11" ht="42" customHeight="1">
      <c r="A2019" s="2" t="s">
        <v>4972</v>
      </c>
      <c r="B2019" s="2" t="s">
        <v>4973</v>
      </c>
      <c r="C2019" s="2" t="s">
        <v>33</v>
      </c>
      <c r="D2019" s="2" t="s">
        <v>18</v>
      </c>
      <c r="E2019" s="5">
        <v>-29827</v>
      </c>
      <c r="F2019" s="3" t="s">
        <v>280</v>
      </c>
      <c r="G2019" s="3" t="s">
        <v>106</v>
      </c>
      <c r="H2019" s="2" t="s">
        <v>21</v>
      </c>
      <c r="I2019" s="2" t="s">
        <v>4974</v>
      </c>
      <c r="J2019" s="3" t="str">
        <f>HYPERLINK("https://www.boe.es/gazeta/dias/1818/05/02/pdfs/GMD-1818-53.pdf#page=5","Abrir facsímil")</f>
        <v>Abrir facsímil</v>
      </c>
      <c r="K2019" s="3" t="s">
        <v>23</v>
      </c>
    </row>
    <row r="2020" spans="1:11" ht="42" customHeight="1">
      <c r="A2020" s="2" t="s">
        <v>4975</v>
      </c>
      <c r="B2020" s="2" t="s">
        <v>4976</v>
      </c>
      <c r="C2020" s="2" t="s">
        <v>26</v>
      </c>
      <c r="D2020" s="2" t="s">
        <v>27</v>
      </c>
      <c r="E2020" s="5">
        <v>-29589</v>
      </c>
      <c r="F2020" s="3" t="s">
        <v>210</v>
      </c>
      <c r="G2020" s="3" t="s">
        <v>59</v>
      </c>
      <c r="H2020" s="2" t="s">
        <v>21</v>
      </c>
      <c r="I2020" s="2" t="s">
        <v>4977</v>
      </c>
      <c r="J2020" s="3" t="str">
        <f>HYPERLINK("https://www.boe.es/gazeta/dias/1818/12/26/pdfs/GMD-1818-156.pdf#page=6","Abrir facsímil")</f>
        <v>Abrir facsímil</v>
      </c>
      <c r="K2020" s="3" t="s">
        <v>23</v>
      </c>
    </row>
    <row r="2021" spans="1:11" ht="42" customHeight="1">
      <c r="A2021" s="2" t="s">
        <v>4978</v>
      </c>
      <c r="B2021" s="2" t="s">
        <v>4979</v>
      </c>
      <c r="C2021" s="2" t="s">
        <v>68</v>
      </c>
      <c r="D2021" s="2" t="s">
        <v>69</v>
      </c>
      <c r="E2021" s="5">
        <v>-29675</v>
      </c>
      <c r="F2021" s="3" t="s">
        <v>2314</v>
      </c>
      <c r="G2021" s="3" t="s">
        <v>45</v>
      </c>
      <c r="H2021" s="2" t="s">
        <v>36</v>
      </c>
      <c r="I2021" s="2" t="s">
        <v>4980</v>
      </c>
      <c r="J2021" s="3" t="str">
        <f>HYPERLINK("https://www.boe.es/gazeta/dias/1818/10/01/pdfs/GMD-1818-118.pdf#page=8","Abrir facsímil")</f>
        <v>Abrir facsímil</v>
      </c>
      <c r="K2021" s="3" t="s">
        <v>38</v>
      </c>
    </row>
    <row r="2022" spans="1:11" ht="42" customHeight="1">
      <c r="A2022" s="2" t="s">
        <v>4981</v>
      </c>
      <c r="B2022" s="2" t="s">
        <v>4982</v>
      </c>
      <c r="C2022" s="2" t="s">
        <v>68</v>
      </c>
      <c r="D2022" s="2" t="s">
        <v>69</v>
      </c>
      <c r="E2022" s="5">
        <v>-29736</v>
      </c>
      <c r="F2022" s="3" t="s">
        <v>581</v>
      </c>
      <c r="G2022" s="3" t="s">
        <v>45</v>
      </c>
      <c r="H2022" s="2" t="s">
        <v>36</v>
      </c>
      <c r="I2022" s="2" t="s">
        <v>4983</v>
      </c>
      <c r="J2022" s="3" t="str">
        <f>HYPERLINK("https://www.boe.es/gazeta/dias/1818/08/01/pdfs/GMD-1818-92.pdf#page=8","Abrir facsímil")</f>
        <v>Abrir facsímil</v>
      </c>
      <c r="K2022" s="3" t="s">
        <v>38</v>
      </c>
    </row>
    <row r="2023" spans="1:11" ht="42" customHeight="1">
      <c r="A2023" s="2" t="s">
        <v>4984</v>
      </c>
      <c r="B2023" s="2" t="s">
        <v>4985</v>
      </c>
      <c r="C2023" s="2" t="s">
        <v>215</v>
      </c>
      <c r="D2023" s="2" t="s">
        <v>18</v>
      </c>
      <c r="E2023" s="5">
        <v>-29619</v>
      </c>
      <c r="F2023" s="3" t="s">
        <v>64</v>
      </c>
      <c r="G2023" s="3" t="s">
        <v>20</v>
      </c>
      <c r="H2023" s="2" t="s">
        <v>36</v>
      </c>
      <c r="I2023" s="2" t="s">
        <v>4986</v>
      </c>
      <c r="J2023" s="3" t="str">
        <f>HYPERLINK("https://www.boe.es/gazeta/dias/1818/11/26/pdfs/GMD-1818-143.pdf#page=7","Abrir facsímil")</f>
        <v>Abrir facsímil</v>
      </c>
      <c r="K2023" s="3" t="s">
        <v>38</v>
      </c>
    </row>
    <row r="2024" spans="1:11" ht="42" customHeight="1">
      <c r="A2024" s="2" t="s">
        <v>4987</v>
      </c>
      <c r="B2024" s="2" t="s">
        <v>4988</v>
      </c>
      <c r="C2024" s="2" t="s">
        <v>26</v>
      </c>
      <c r="D2024" s="2" t="s">
        <v>27</v>
      </c>
      <c r="E2024" s="5">
        <v>-29848</v>
      </c>
      <c r="F2024" s="3" t="s">
        <v>571</v>
      </c>
      <c r="G2024" s="3" t="s">
        <v>20</v>
      </c>
      <c r="H2024" s="2" t="s">
        <v>36</v>
      </c>
      <c r="I2024" s="2" t="s">
        <v>4989</v>
      </c>
      <c r="J2024" s="3" t="str">
        <f>HYPERLINK("https://www.boe.es/gazeta/dias/1818/04/11/pdfs/GMD-1818-44.pdf#page=7","Abrir facsímil")</f>
        <v>Abrir facsímil</v>
      </c>
      <c r="K2024" s="3" t="s">
        <v>38</v>
      </c>
    </row>
    <row r="2025" spans="1:11" ht="42" customHeight="1">
      <c r="A2025" s="2" t="s">
        <v>4990</v>
      </c>
      <c r="B2025" s="2" t="s">
        <v>4991</v>
      </c>
      <c r="C2025" s="2" t="s">
        <v>26</v>
      </c>
      <c r="D2025" s="2" t="s">
        <v>27</v>
      </c>
      <c r="E2025" s="5">
        <v>-29808</v>
      </c>
      <c r="F2025" s="3" t="s">
        <v>80</v>
      </c>
      <c r="G2025" s="3" t="s">
        <v>20</v>
      </c>
      <c r="H2025" s="2" t="s">
        <v>36</v>
      </c>
      <c r="I2025" s="2" t="s">
        <v>4992</v>
      </c>
      <c r="J2025" s="3" t="str">
        <f>HYPERLINK("https://www.boe.es/gazeta/dias/1818/05/21/pdfs/GMD-1818-61.pdf#page=7","Abrir facsímil")</f>
        <v>Abrir facsímil</v>
      </c>
      <c r="K2025" s="3" t="s">
        <v>38</v>
      </c>
    </row>
    <row r="2026" spans="1:11" ht="42" customHeight="1">
      <c r="A2026" s="2" t="s">
        <v>4993</v>
      </c>
      <c r="B2026" s="2" t="s">
        <v>4994</v>
      </c>
      <c r="C2026" s="2" t="s">
        <v>26</v>
      </c>
      <c r="D2026" s="2" t="s">
        <v>27</v>
      </c>
      <c r="E2026" s="5">
        <v>-29792</v>
      </c>
      <c r="F2026" s="3" t="s">
        <v>948</v>
      </c>
      <c r="G2026" s="3" t="s">
        <v>20</v>
      </c>
      <c r="H2026" s="2" t="s">
        <v>36</v>
      </c>
      <c r="I2026" s="2" t="s">
        <v>4995</v>
      </c>
      <c r="J2026" s="3" t="str">
        <f>HYPERLINK("https://www.boe.es/gazeta/dias/1818/06/06/pdfs/GMD-1818-68.pdf#page=7","Abrir facsímil")</f>
        <v>Abrir facsímil</v>
      </c>
      <c r="K2026" s="3" t="s">
        <v>38</v>
      </c>
    </row>
    <row r="2027" spans="1:11" ht="42" customHeight="1">
      <c r="A2027" s="2" t="s">
        <v>4996</v>
      </c>
      <c r="B2027" s="2" t="s">
        <v>4997</v>
      </c>
      <c r="C2027" s="2" t="s">
        <v>68</v>
      </c>
      <c r="D2027" s="2" t="s">
        <v>69</v>
      </c>
      <c r="E2027" s="5">
        <v>-29848</v>
      </c>
      <c r="F2027" s="3" t="s">
        <v>571</v>
      </c>
      <c r="G2027" s="3" t="s">
        <v>20</v>
      </c>
      <c r="H2027" s="2" t="s">
        <v>36</v>
      </c>
      <c r="I2027" s="2" t="s">
        <v>4998</v>
      </c>
      <c r="J2027" s="3" t="str">
        <f>HYPERLINK("https://www.boe.es/gazeta/dias/1818/04/11/pdfs/GMD-1818-44.pdf#page=7","Abrir facsímil")</f>
        <v>Abrir facsímil</v>
      </c>
      <c r="K2027" s="3" t="s">
        <v>38</v>
      </c>
    </row>
    <row r="2028" spans="1:11" ht="42" customHeight="1">
      <c r="A2028" s="2" t="s">
        <v>4999</v>
      </c>
      <c r="B2028" s="2" t="s">
        <v>4999</v>
      </c>
      <c r="C2028" s="2" t="s">
        <v>26</v>
      </c>
      <c r="D2028" s="2" t="s">
        <v>27</v>
      </c>
      <c r="E2028" s="5">
        <v>-29845</v>
      </c>
      <c r="F2028" s="3" t="s">
        <v>105</v>
      </c>
      <c r="G2028" s="3" t="s">
        <v>85</v>
      </c>
      <c r="H2028" s="2" t="s">
        <v>36</v>
      </c>
      <c r="I2028" s="2" t="s">
        <v>5000</v>
      </c>
      <c r="J2028" s="3" t="str">
        <f>HYPERLINK("https://www.boe.es/gazeta/dias/1818/04/14/pdfs/GMD-1818-45.pdf#page=3","Abrir facsímil")</f>
        <v>Abrir facsímil</v>
      </c>
      <c r="K2028" s="3" t="s">
        <v>38</v>
      </c>
    </row>
    <row r="2029" spans="1:11" ht="42" customHeight="1">
      <c r="A2029" s="2" t="s">
        <v>4999</v>
      </c>
      <c r="B2029" s="2" t="s">
        <v>4999</v>
      </c>
      <c r="C2029" s="2" t="s">
        <v>68</v>
      </c>
      <c r="D2029" s="2" t="s">
        <v>69</v>
      </c>
      <c r="E2029" s="5">
        <v>-29799</v>
      </c>
      <c r="F2029" s="3" t="s">
        <v>135</v>
      </c>
      <c r="G2029" s="3" t="s">
        <v>59</v>
      </c>
      <c r="H2029" s="2" t="s">
        <v>36</v>
      </c>
      <c r="I2029" s="2" t="s">
        <v>5001</v>
      </c>
      <c r="J2029" s="3" t="str">
        <f>HYPERLINK("https://www.boe.es/gazeta/dias/1818/05/30/pdfs/GMD-1818-65.pdf#page=6","Abrir facsímil")</f>
        <v>Abrir facsímil</v>
      </c>
      <c r="K2029" s="3" t="s">
        <v>38</v>
      </c>
    </row>
    <row r="2030" spans="1:11" ht="42" customHeight="1">
      <c r="A2030" s="2" t="s">
        <v>5002</v>
      </c>
      <c r="B2030" s="2" t="s">
        <v>5003</v>
      </c>
      <c r="C2030" s="2" t="s">
        <v>17</v>
      </c>
      <c r="D2030" s="2" t="s">
        <v>18</v>
      </c>
      <c r="E2030" s="5">
        <v>-29698</v>
      </c>
      <c r="F2030" s="3" t="s">
        <v>148</v>
      </c>
      <c r="G2030" s="3" t="s">
        <v>59</v>
      </c>
      <c r="H2030" s="2" t="s">
        <v>36</v>
      </c>
      <c r="I2030" s="2" t="s">
        <v>5004</v>
      </c>
      <c r="J2030" s="3" t="str">
        <f>HYPERLINK("https://www.boe.es/gazeta/dias/1818/09/08/pdfs/GMD-1818-108.pdf#page=6","Abrir facsímil")</f>
        <v>Abrir facsímil</v>
      </c>
      <c r="K2030" s="3" t="s">
        <v>38</v>
      </c>
    </row>
    <row r="2031" spans="1:11" ht="42" customHeight="1">
      <c r="A2031" s="2" t="s">
        <v>5005</v>
      </c>
      <c r="B2031" s="2" t="s">
        <v>5006</v>
      </c>
      <c r="C2031" s="2" t="s">
        <v>215</v>
      </c>
      <c r="D2031" s="2" t="s">
        <v>18</v>
      </c>
      <c r="E2031" s="5">
        <v>-29871</v>
      </c>
      <c r="F2031" s="3" t="s">
        <v>641</v>
      </c>
      <c r="G2031" s="3" t="s">
        <v>20</v>
      </c>
      <c r="H2031" s="2" t="s">
        <v>36</v>
      </c>
      <c r="I2031" s="2" t="s">
        <v>5007</v>
      </c>
      <c r="J2031" s="3" t="str">
        <f>HYPERLINK("https://www.boe.es/gazeta/dias/1818/03/19/pdfs/GMD-1818-34.pdf#page=7","Abrir facsímil")</f>
        <v>Abrir facsímil</v>
      </c>
      <c r="K2031" s="3" t="s">
        <v>38</v>
      </c>
    </row>
    <row r="2032" spans="1:11" ht="42" customHeight="1">
      <c r="A2032" s="2" t="s">
        <v>5008</v>
      </c>
      <c r="B2032" s="2" t="s">
        <v>5008</v>
      </c>
      <c r="C2032" s="2" t="s">
        <v>68</v>
      </c>
      <c r="D2032" s="2" t="s">
        <v>69</v>
      </c>
      <c r="E2032" s="5">
        <v>-29843</v>
      </c>
      <c r="F2032" s="3" t="s">
        <v>182</v>
      </c>
      <c r="G2032" s="3" t="s">
        <v>59</v>
      </c>
      <c r="H2032" s="2" t="s">
        <v>36</v>
      </c>
      <c r="I2032" s="2" t="s">
        <v>5009</v>
      </c>
      <c r="J2032" s="3" t="str">
        <f>HYPERLINK("https://www.boe.es/gazeta/dias/1818/04/16/pdfs/GMD-1818-46.pdf#page=6","Abrir facsímil")</f>
        <v>Abrir facsímil</v>
      </c>
      <c r="K2032" s="3" t="s">
        <v>38</v>
      </c>
    </row>
    <row r="2033" spans="1:11" ht="42" customHeight="1">
      <c r="A2033" s="2" t="s">
        <v>5010</v>
      </c>
      <c r="B2033" s="2" t="s">
        <v>5011</v>
      </c>
      <c r="C2033" s="2" t="s">
        <v>26</v>
      </c>
      <c r="D2033" s="2" t="s">
        <v>27</v>
      </c>
      <c r="E2033" s="5">
        <v>-29726</v>
      </c>
      <c r="F2033" s="3" t="s">
        <v>70</v>
      </c>
      <c r="G2033" s="3" t="s">
        <v>736</v>
      </c>
      <c r="H2033" s="2" t="s">
        <v>36</v>
      </c>
      <c r="I2033" s="2" t="s">
        <v>5012</v>
      </c>
      <c r="J2033" s="3" t="str">
        <f>HYPERLINK("https://www.boe.es/gazeta/dias/1818/08/11/pdfs/GMD-1818-96.pdf#page=14","Abrir facsímil")</f>
        <v>Abrir facsímil</v>
      </c>
      <c r="K2033" s="3" t="s">
        <v>38</v>
      </c>
    </row>
    <row r="2034" spans="1:11" ht="42" customHeight="1">
      <c r="A2034" s="2" t="s">
        <v>5013</v>
      </c>
      <c r="B2034" s="2" t="s">
        <v>5013</v>
      </c>
      <c r="C2034" s="2" t="s">
        <v>68</v>
      </c>
      <c r="D2034" s="2" t="s">
        <v>69</v>
      </c>
      <c r="E2034" s="5">
        <v>-29936</v>
      </c>
      <c r="F2034" s="3" t="s">
        <v>398</v>
      </c>
      <c r="G2034" s="3" t="s">
        <v>20</v>
      </c>
      <c r="H2034" s="2" t="s">
        <v>36</v>
      </c>
      <c r="I2034" s="2" t="s">
        <v>5014</v>
      </c>
      <c r="J2034" s="3" t="str">
        <f>HYPERLINK("https://www.boe.es/gazeta/dias/1818/01/13/pdfs/GMD-1818-6.pdf#page=7","Abrir facsímil")</f>
        <v>Abrir facsímil</v>
      </c>
      <c r="K2034" s="3" t="s">
        <v>38</v>
      </c>
    </row>
    <row r="2035" spans="1:11" ht="42" customHeight="1">
      <c r="A2035" s="2" t="s">
        <v>5013</v>
      </c>
      <c r="B2035" s="2" t="s">
        <v>5013</v>
      </c>
      <c r="C2035" s="2" t="s">
        <v>17</v>
      </c>
      <c r="D2035" s="2" t="s">
        <v>18</v>
      </c>
      <c r="E2035" s="5">
        <v>-29614</v>
      </c>
      <c r="F2035" s="3" t="s">
        <v>620</v>
      </c>
      <c r="G2035" s="3" t="s">
        <v>59</v>
      </c>
      <c r="H2035" s="2" t="s">
        <v>36</v>
      </c>
      <c r="I2035" s="2" t="s">
        <v>5015</v>
      </c>
      <c r="J2035" s="3" t="str">
        <f>HYPERLINK("https://www.boe.es/gazeta/dias/1818/12/01/pdfs/GMD-1818-145.pdf#page=6","Abrir facsímil")</f>
        <v>Abrir facsímil</v>
      </c>
      <c r="K2035" s="3" t="s">
        <v>38</v>
      </c>
    </row>
    <row r="2036" spans="1:11" ht="42" customHeight="1">
      <c r="A2036" s="2" t="s">
        <v>5013</v>
      </c>
      <c r="B2036" s="2" t="s">
        <v>5013</v>
      </c>
      <c r="C2036" s="2" t="s">
        <v>63</v>
      </c>
      <c r="D2036" s="2" t="s">
        <v>18</v>
      </c>
      <c r="E2036" s="5">
        <v>-29600</v>
      </c>
      <c r="F2036" s="3" t="s">
        <v>697</v>
      </c>
      <c r="G2036" s="3" t="s">
        <v>45</v>
      </c>
      <c r="H2036" s="2" t="s">
        <v>36</v>
      </c>
      <c r="I2036" s="2" t="s">
        <v>5016</v>
      </c>
      <c r="J2036" s="3" t="str">
        <f>HYPERLINK("https://www.boe.es/gazeta/dias/1818/12/15/pdfs/GMD-1818-151.pdf#page=8","Abrir facsímil")</f>
        <v>Abrir facsímil</v>
      </c>
      <c r="K2036" s="3" t="s">
        <v>38</v>
      </c>
    </row>
    <row r="2037" spans="1:11" ht="42" customHeight="1">
      <c r="A2037" s="2" t="s">
        <v>5017</v>
      </c>
      <c r="B2037" s="2" t="s">
        <v>5018</v>
      </c>
      <c r="C2037" s="2" t="s">
        <v>17</v>
      </c>
      <c r="D2037" s="2" t="s">
        <v>18</v>
      </c>
      <c r="E2037" s="5">
        <v>-29829</v>
      </c>
      <c r="F2037" s="3" t="s">
        <v>44</v>
      </c>
      <c r="G2037" s="3" t="s">
        <v>45</v>
      </c>
      <c r="H2037" s="2" t="s">
        <v>36</v>
      </c>
      <c r="I2037" s="2" t="s">
        <v>5019</v>
      </c>
      <c r="J2037" s="3" t="str">
        <f>HYPERLINK("https://www.boe.es/gazeta/dias/1818/04/30/pdfs/GMD-1818-52.pdf#page=8","Abrir facsímil")</f>
        <v>Abrir facsímil</v>
      </c>
      <c r="K2037" s="3" t="s">
        <v>38</v>
      </c>
    </row>
    <row r="2038" spans="1:11" ht="42" customHeight="1">
      <c r="A2038" s="2" t="s">
        <v>5017</v>
      </c>
      <c r="B2038" s="2" t="s">
        <v>5018</v>
      </c>
      <c r="C2038" s="2" t="s">
        <v>26</v>
      </c>
      <c r="D2038" s="2" t="s">
        <v>27</v>
      </c>
      <c r="E2038" s="5">
        <v>-29596</v>
      </c>
      <c r="F2038" s="3" t="s">
        <v>555</v>
      </c>
      <c r="G2038" s="3" t="s">
        <v>59</v>
      </c>
      <c r="H2038" s="2" t="s">
        <v>36</v>
      </c>
      <c r="I2038" s="2" t="s">
        <v>5020</v>
      </c>
      <c r="J2038" s="3" t="str">
        <f>HYPERLINK("https://www.boe.es/gazeta/dias/1818/12/19/pdfs/GMD-1818-153.pdf#page=6","Abrir facsímil")</f>
        <v>Abrir facsímil</v>
      </c>
      <c r="K2038" s="3" t="s">
        <v>38</v>
      </c>
    </row>
    <row r="2039" spans="1:11" ht="42" customHeight="1">
      <c r="A2039" s="2" t="s">
        <v>5021</v>
      </c>
      <c r="B2039" s="2" t="s">
        <v>5022</v>
      </c>
      <c r="C2039" s="2" t="s">
        <v>26</v>
      </c>
      <c r="D2039" s="2" t="s">
        <v>27</v>
      </c>
      <c r="E2039" s="5">
        <v>-29855</v>
      </c>
      <c r="F2039" s="3" t="s">
        <v>676</v>
      </c>
      <c r="G2039" s="3" t="s">
        <v>106</v>
      </c>
      <c r="H2039" s="2" t="s">
        <v>21</v>
      </c>
      <c r="I2039" s="2" t="s">
        <v>5023</v>
      </c>
      <c r="J2039" s="3" t="str">
        <f>HYPERLINK("https://www.boe.es/gazeta/dias/1818/04/04/pdfs/GMD-1818-41.pdf#page=5","Abrir facsímil")</f>
        <v>Abrir facsímil</v>
      </c>
      <c r="K2039" s="3" t="s">
        <v>23</v>
      </c>
    </row>
    <row r="2040" spans="1:11" ht="42" customHeight="1">
      <c r="A2040" s="2" t="s">
        <v>5024</v>
      </c>
      <c r="B2040" s="2" t="s">
        <v>5025</v>
      </c>
      <c r="C2040" s="2" t="s">
        <v>26</v>
      </c>
      <c r="D2040" s="2" t="s">
        <v>27</v>
      </c>
      <c r="E2040" s="5">
        <v>-29694</v>
      </c>
      <c r="F2040" s="3" t="s">
        <v>528</v>
      </c>
      <c r="G2040" s="3" t="s">
        <v>20</v>
      </c>
      <c r="H2040" s="2" t="s">
        <v>36</v>
      </c>
      <c r="I2040" s="2" t="s">
        <v>5026</v>
      </c>
      <c r="J2040" s="3" t="str">
        <f>HYPERLINK("https://www.boe.es/gazeta/dias/1818/09/12/pdfs/GMD-1818-110.pdf#page=7","Abrir facsímil")</f>
        <v>Abrir facsímil</v>
      </c>
      <c r="K2040" s="3" t="s">
        <v>38</v>
      </c>
    </row>
    <row r="2041" spans="1:11" ht="42" customHeight="1">
      <c r="A2041" s="2" t="s">
        <v>5027</v>
      </c>
      <c r="B2041" s="2" t="s">
        <v>5028</v>
      </c>
      <c r="C2041" s="2" t="s">
        <v>17</v>
      </c>
      <c r="D2041" s="2" t="s">
        <v>18</v>
      </c>
      <c r="E2041" s="5">
        <v>-29698</v>
      </c>
      <c r="F2041" s="3" t="s">
        <v>148</v>
      </c>
      <c r="G2041" s="3" t="s">
        <v>59</v>
      </c>
      <c r="H2041" s="2" t="s">
        <v>36</v>
      </c>
      <c r="I2041" s="2" t="s">
        <v>5029</v>
      </c>
      <c r="J2041" s="3" t="str">
        <f>HYPERLINK("https://www.boe.es/gazeta/dias/1818/09/08/pdfs/GMD-1818-108.pdf#page=6","Abrir facsímil")</f>
        <v>Abrir facsímil</v>
      </c>
      <c r="K2041" s="3" t="s">
        <v>38</v>
      </c>
    </row>
    <row r="2042" spans="1:11" ht="42" customHeight="1">
      <c r="A2042" s="2" t="s">
        <v>5030</v>
      </c>
      <c r="B2042" s="2" t="s">
        <v>5030</v>
      </c>
      <c r="C2042" s="2" t="s">
        <v>26</v>
      </c>
      <c r="D2042" s="2" t="s">
        <v>27</v>
      </c>
      <c r="E2042" s="5">
        <v>-29948</v>
      </c>
      <c r="F2042" s="3" t="s">
        <v>199</v>
      </c>
      <c r="G2042" s="3" t="s">
        <v>2994</v>
      </c>
      <c r="H2042" s="2" t="s">
        <v>36</v>
      </c>
      <c r="I2042" s="2" t="s">
        <v>5031</v>
      </c>
      <c r="J2042" s="3" t="str">
        <f>HYPERLINK("https://www.boe.es/gazeta/dias/1818/01/01/pdfs/GMD-1818-1.pdf#page=3","Abrir facsímil")</f>
        <v>Abrir facsímil</v>
      </c>
      <c r="K2042" s="3" t="s">
        <v>38</v>
      </c>
    </row>
    <row r="2043" spans="1:11" ht="42" customHeight="1">
      <c r="A2043" s="2" t="s">
        <v>5032</v>
      </c>
      <c r="B2043" s="2" t="s">
        <v>5033</v>
      </c>
      <c r="C2043" s="2" t="s">
        <v>26</v>
      </c>
      <c r="D2043" s="2" t="s">
        <v>27</v>
      </c>
      <c r="E2043" s="5">
        <v>-29689</v>
      </c>
      <c r="F2043" s="3" t="s">
        <v>303</v>
      </c>
      <c r="G2043" s="3" t="s">
        <v>20</v>
      </c>
      <c r="H2043" s="2" t="s">
        <v>36</v>
      </c>
      <c r="I2043" s="2" t="s">
        <v>5034</v>
      </c>
      <c r="J2043" s="3" t="str">
        <f>HYPERLINK("https://www.boe.es/gazeta/dias/1818/09/17/pdfs/GMD-1818-112.pdf#page=7","Abrir facsímil")</f>
        <v>Abrir facsímil</v>
      </c>
      <c r="K2043" s="3" t="s">
        <v>38</v>
      </c>
    </row>
    <row r="2044" spans="1:11" ht="42" customHeight="1">
      <c r="A2044" s="2" t="s">
        <v>5035</v>
      </c>
      <c r="B2044" s="2" t="s">
        <v>5035</v>
      </c>
      <c r="C2044" s="2" t="s">
        <v>68</v>
      </c>
      <c r="D2044" s="2" t="s">
        <v>69</v>
      </c>
      <c r="E2044" s="5">
        <v>-29829</v>
      </c>
      <c r="F2044" s="3" t="s">
        <v>44</v>
      </c>
      <c r="G2044" s="3" t="s">
        <v>85</v>
      </c>
      <c r="H2044" s="2" t="s">
        <v>36</v>
      </c>
      <c r="I2044" s="2" t="s">
        <v>5036</v>
      </c>
      <c r="J2044" s="3" t="str">
        <f>HYPERLINK("https://www.boe.es/gazeta/dias/1818/04/30/pdfs/GMD-1818-52.pdf#page=3","Abrir facsímil")</f>
        <v>Abrir facsímil</v>
      </c>
      <c r="K2044" s="3" t="s">
        <v>38</v>
      </c>
    </row>
    <row r="2045" spans="1:11" ht="42" customHeight="1">
      <c r="A2045" s="2" t="s">
        <v>5035</v>
      </c>
      <c r="B2045" s="2" t="s">
        <v>5035</v>
      </c>
      <c r="C2045" s="2" t="s">
        <v>17</v>
      </c>
      <c r="D2045" s="2" t="s">
        <v>18</v>
      </c>
      <c r="E2045" s="5">
        <v>-29829</v>
      </c>
      <c r="F2045" s="3" t="s">
        <v>44</v>
      </c>
      <c r="G2045" s="3" t="s">
        <v>106</v>
      </c>
      <c r="H2045" s="2" t="s">
        <v>36</v>
      </c>
      <c r="I2045" s="2" t="s">
        <v>5037</v>
      </c>
      <c r="J2045" s="3" t="str">
        <f>HYPERLINK("https://www.boe.es/gazeta/dias/1818/04/30/pdfs/GMD-1818-52.pdf#page=5","Abrir facsímil")</f>
        <v>Abrir facsímil</v>
      </c>
      <c r="K2045" s="3" t="s">
        <v>38</v>
      </c>
    </row>
    <row r="2046" spans="1:11" ht="42" customHeight="1">
      <c r="A2046" s="2" t="s">
        <v>5035</v>
      </c>
      <c r="B2046" s="2" t="s">
        <v>5035</v>
      </c>
      <c r="C2046" s="2" t="s">
        <v>26</v>
      </c>
      <c r="D2046" s="2" t="s">
        <v>27</v>
      </c>
      <c r="E2046" s="5">
        <v>-29827</v>
      </c>
      <c r="F2046" s="3" t="s">
        <v>280</v>
      </c>
      <c r="G2046" s="3" t="s">
        <v>20</v>
      </c>
      <c r="H2046" s="2" t="s">
        <v>36</v>
      </c>
      <c r="I2046" s="2" t="s">
        <v>5038</v>
      </c>
      <c r="J2046" s="3" t="str">
        <f>HYPERLINK("https://www.boe.es/gazeta/dias/1818/05/02/pdfs/GMD-1818-53.pdf#page=7","Abrir facsímil")</f>
        <v>Abrir facsímil</v>
      </c>
      <c r="K2046" s="3" t="s">
        <v>38</v>
      </c>
    </row>
    <row r="2047" spans="1:11" ht="42" customHeight="1">
      <c r="A2047" s="2" t="s">
        <v>5035</v>
      </c>
      <c r="B2047" s="2" t="s">
        <v>5035</v>
      </c>
      <c r="C2047" s="2" t="s">
        <v>97</v>
      </c>
      <c r="D2047" s="2" t="s">
        <v>18</v>
      </c>
      <c r="E2047" s="5">
        <v>-29740</v>
      </c>
      <c r="F2047" s="3" t="s">
        <v>152</v>
      </c>
      <c r="G2047" s="3" t="s">
        <v>29</v>
      </c>
      <c r="H2047" s="2" t="s">
        <v>36</v>
      </c>
      <c r="I2047" s="2" t="s">
        <v>5039</v>
      </c>
      <c r="J2047" s="3" t="str">
        <f>HYPERLINK("https://www.boe.es/gazeta/dias/1818/07/28/pdfs/GMD-1818-90.pdf#page=4","Abrir facsímil")</f>
        <v>Abrir facsímil</v>
      </c>
      <c r="K2047" s="3" t="s">
        <v>38</v>
      </c>
    </row>
    <row r="2048" spans="1:11" ht="42" customHeight="1">
      <c r="A2048" s="2" t="s">
        <v>5040</v>
      </c>
      <c r="B2048" s="2" t="s">
        <v>5041</v>
      </c>
      <c r="C2048" s="2" t="s">
        <v>33</v>
      </c>
      <c r="D2048" s="2" t="s">
        <v>18</v>
      </c>
      <c r="E2048" s="5">
        <v>-29904</v>
      </c>
      <c r="F2048" s="3" t="s">
        <v>451</v>
      </c>
      <c r="G2048" s="3" t="s">
        <v>20</v>
      </c>
      <c r="H2048" s="2" t="s">
        <v>36</v>
      </c>
      <c r="I2048" s="2" t="s">
        <v>5042</v>
      </c>
      <c r="J2048" s="3" t="str">
        <f>HYPERLINK("https://www.boe.es/gazeta/dias/1818/02/14/pdfs/GMD-1818-20.pdf#page=7","Abrir facsímil")</f>
        <v>Abrir facsímil</v>
      </c>
      <c r="K2048" s="3" t="s">
        <v>38</v>
      </c>
    </row>
    <row r="2049" spans="1:11" ht="42" customHeight="1">
      <c r="A2049" s="2" t="s">
        <v>5043</v>
      </c>
      <c r="B2049" s="2" t="s">
        <v>5044</v>
      </c>
      <c r="C2049" s="2" t="s">
        <v>17</v>
      </c>
      <c r="D2049" s="2" t="s">
        <v>18</v>
      </c>
      <c r="E2049" s="5">
        <v>-29906</v>
      </c>
      <c r="F2049" s="3" t="s">
        <v>28</v>
      </c>
      <c r="G2049" s="3" t="s">
        <v>20</v>
      </c>
      <c r="H2049" s="2" t="s">
        <v>36</v>
      </c>
      <c r="I2049" s="2" t="s">
        <v>5045</v>
      </c>
      <c r="J2049" s="3" t="str">
        <f>HYPERLINK("https://www.boe.es/gazeta/dias/1818/02/12/pdfs/GMD-1818-19.pdf#page=7","Abrir facsímil")</f>
        <v>Abrir facsímil</v>
      </c>
      <c r="K2049" s="3" t="s">
        <v>38</v>
      </c>
    </row>
    <row r="2050" spans="1:11" ht="42" customHeight="1">
      <c r="A2050" s="2" t="s">
        <v>5046</v>
      </c>
      <c r="B2050" s="2" t="s">
        <v>5047</v>
      </c>
      <c r="C2050" s="2" t="s">
        <v>26</v>
      </c>
      <c r="D2050" s="2" t="s">
        <v>27</v>
      </c>
      <c r="E2050" s="5">
        <v>-29808</v>
      </c>
      <c r="F2050" s="3" t="s">
        <v>80</v>
      </c>
      <c r="G2050" s="3" t="s">
        <v>59</v>
      </c>
      <c r="H2050" s="2" t="s">
        <v>36</v>
      </c>
      <c r="I2050" s="2" t="s">
        <v>5048</v>
      </c>
      <c r="J2050" s="3" t="str">
        <f>HYPERLINK("https://www.boe.es/gazeta/dias/1818/05/21/pdfs/GMD-1818-61.pdf#page=6","Abrir facsímil")</f>
        <v>Abrir facsímil</v>
      </c>
      <c r="K2050" s="3" t="s">
        <v>38</v>
      </c>
    </row>
    <row r="2051" spans="1:11" ht="42" customHeight="1">
      <c r="A2051" s="2" t="s">
        <v>5049</v>
      </c>
      <c r="B2051" s="2" t="s">
        <v>5050</v>
      </c>
      <c r="C2051" s="2" t="s">
        <v>26</v>
      </c>
      <c r="D2051" s="2" t="s">
        <v>27</v>
      </c>
      <c r="E2051" s="5">
        <v>-29880</v>
      </c>
      <c r="F2051" s="3" t="s">
        <v>359</v>
      </c>
      <c r="G2051" s="3" t="s">
        <v>106</v>
      </c>
      <c r="H2051" s="2" t="s">
        <v>36</v>
      </c>
      <c r="I2051" s="2" t="s">
        <v>5051</v>
      </c>
      <c r="J2051" s="3" t="str">
        <f>HYPERLINK("https://www.boe.es/gazeta/dias/1818/03/10/pdfs/GMD-1818-30.pdf#page=5","Abrir facsímil")</f>
        <v>Abrir facsímil</v>
      </c>
      <c r="K2051" s="3" t="s">
        <v>38</v>
      </c>
    </row>
    <row r="2052" spans="1:11" ht="42" customHeight="1">
      <c r="A2052" s="2" t="s">
        <v>5052</v>
      </c>
      <c r="B2052" s="2" t="s">
        <v>5053</v>
      </c>
      <c r="C2052" s="2" t="s">
        <v>68</v>
      </c>
      <c r="D2052" s="2" t="s">
        <v>69</v>
      </c>
      <c r="E2052" s="5">
        <v>-29761</v>
      </c>
      <c r="F2052" s="3" t="s">
        <v>168</v>
      </c>
      <c r="G2052" s="3" t="s">
        <v>3532</v>
      </c>
      <c r="H2052" s="2" t="s">
        <v>36</v>
      </c>
      <c r="I2052" s="2" t="s">
        <v>5054</v>
      </c>
      <c r="J2052" s="3" t="str">
        <f>HYPERLINK("https://www.boe.es/gazeta/dias/1818/07/07/pdfs/GMD-1818-81.pdf#page=6","Abrir facsímil")</f>
        <v>Abrir facsímil</v>
      </c>
      <c r="K2052" s="3" t="s">
        <v>38</v>
      </c>
    </row>
    <row r="2053" spans="1:11" ht="42" customHeight="1">
      <c r="A2053" s="2" t="s">
        <v>5055</v>
      </c>
      <c r="B2053" s="2" t="s">
        <v>5056</v>
      </c>
      <c r="C2053" s="2" t="s">
        <v>57</v>
      </c>
      <c r="D2053" s="2" t="s">
        <v>18</v>
      </c>
      <c r="E2053" s="5">
        <v>-29915</v>
      </c>
      <c r="F2053" s="3" t="s">
        <v>429</v>
      </c>
      <c r="G2053" s="3" t="s">
        <v>20</v>
      </c>
      <c r="H2053" s="2" t="s">
        <v>36</v>
      </c>
      <c r="I2053" s="2" t="s">
        <v>5057</v>
      </c>
      <c r="J2053" s="3" t="str">
        <f>HYPERLINK("https://www.boe.es/gazeta/dias/1818/02/03/pdfs/GMD-1818-15.pdf#page=7","Abrir facsímil")</f>
        <v>Abrir facsímil</v>
      </c>
      <c r="K2053" s="3" t="s">
        <v>38</v>
      </c>
    </row>
    <row r="2054" spans="1:11" ht="42" customHeight="1">
      <c r="A2054" s="2" t="s">
        <v>5058</v>
      </c>
      <c r="B2054" s="2" t="s">
        <v>5058</v>
      </c>
      <c r="C2054" s="2" t="s">
        <v>26</v>
      </c>
      <c r="D2054" s="2" t="s">
        <v>27</v>
      </c>
      <c r="E2054" s="5">
        <v>-29864</v>
      </c>
      <c r="F2054" s="3" t="s">
        <v>196</v>
      </c>
      <c r="G2054" s="3" t="s">
        <v>45</v>
      </c>
      <c r="H2054" s="2" t="s">
        <v>36</v>
      </c>
      <c r="I2054" s="2" t="s">
        <v>5059</v>
      </c>
      <c r="J2054" s="3" t="str">
        <f>HYPERLINK("https://www.boe.es/gazeta/dias/1818/03/26/pdfs/GMD-1818-37.pdf#page=8","Abrir facsímil")</f>
        <v>Abrir facsímil</v>
      </c>
      <c r="K2054" s="3" t="s">
        <v>38</v>
      </c>
    </row>
    <row r="2055" spans="1:11" ht="42" customHeight="1">
      <c r="A2055" s="2" t="s">
        <v>5060</v>
      </c>
      <c r="B2055" s="2" t="s">
        <v>5060</v>
      </c>
      <c r="C2055" s="2" t="s">
        <v>26</v>
      </c>
      <c r="D2055" s="2" t="s">
        <v>27</v>
      </c>
      <c r="E2055" s="5">
        <v>-29941</v>
      </c>
      <c r="F2055" s="3" t="s">
        <v>2259</v>
      </c>
      <c r="G2055" s="3" t="s">
        <v>5061</v>
      </c>
      <c r="H2055" s="2" t="s">
        <v>36</v>
      </c>
      <c r="I2055" s="2" t="s">
        <v>5062</v>
      </c>
      <c r="J2055" s="3" t="str">
        <f>HYPERLINK("https://www.boe.es/gazeta/dias/1818/01/08/pdfs/GMD-1818-4.pdf#page=3","Abrir facsímil")</f>
        <v>Abrir facsímil</v>
      </c>
      <c r="K2055" s="3" t="s">
        <v>38</v>
      </c>
    </row>
    <row r="2056" spans="1:11" ht="42" customHeight="1">
      <c r="A2056" s="2" t="s">
        <v>5060</v>
      </c>
      <c r="B2056" s="2" t="s">
        <v>5060</v>
      </c>
      <c r="C2056" s="2" t="s">
        <v>17</v>
      </c>
      <c r="D2056" s="2" t="s">
        <v>18</v>
      </c>
      <c r="E2056" s="5">
        <v>-29941</v>
      </c>
      <c r="F2056" s="3" t="s">
        <v>2259</v>
      </c>
      <c r="G2056" s="3" t="s">
        <v>59</v>
      </c>
      <c r="H2056" s="2" t="s">
        <v>36</v>
      </c>
      <c r="I2056" s="2" t="s">
        <v>5063</v>
      </c>
      <c r="J2056" s="3" t="str">
        <f>HYPERLINK("https://www.boe.es/gazeta/dias/1818/01/08/pdfs/GMD-1818-4.pdf#page=6","Abrir facsímil")</f>
        <v>Abrir facsímil</v>
      </c>
      <c r="K2056" s="3" t="s">
        <v>38</v>
      </c>
    </row>
    <row r="2057" spans="1:11" ht="42" customHeight="1">
      <c r="A2057" s="2" t="s">
        <v>5060</v>
      </c>
      <c r="B2057" s="2" t="s">
        <v>5060</v>
      </c>
      <c r="C2057" s="2" t="s">
        <v>68</v>
      </c>
      <c r="D2057" s="2" t="s">
        <v>69</v>
      </c>
      <c r="E2057" s="5">
        <v>-29929</v>
      </c>
      <c r="F2057" s="3" t="s">
        <v>204</v>
      </c>
      <c r="G2057" s="3" t="s">
        <v>20</v>
      </c>
      <c r="H2057" s="2" t="s">
        <v>36</v>
      </c>
      <c r="I2057" s="2" t="s">
        <v>5064</v>
      </c>
      <c r="J2057" s="3" t="str">
        <f>HYPERLINK("https://www.boe.es/gazeta/dias/1818/01/20/pdfs/GMD-1818-9.pdf#page=7","Abrir facsímil")</f>
        <v>Abrir facsímil</v>
      </c>
      <c r="K2057" s="3" t="s">
        <v>38</v>
      </c>
    </row>
    <row r="2058" spans="1:11" ht="42" customHeight="1">
      <c r="A2058" s="2" t="s">
        <v>5060</v>
      </c>
      <c r="B2058" s="2" t="s">
        <v>5060</v>
      </c>
      <c r="C2058" s="2" t="s">
        <v>26</v>
      </c>
      <c r="D2058" s="2" t="s">
        <v>27</v>
      </c>
      <c r="E2058" s="5">
        <v>-29911</v>
      </c>
      <c r="F2058" s="3" t="s">
        <v>509</v>
      </c>
      <c r="G2058" s="3" t="s">
        <v>59</v>
      </c>
      <c r="H2058" s="2" t="s">
        <v>36</v>
      </c>
      <c r="I2058" s="2" t="s">
        <v>5065</v>
      </c>
      <c r="J2058" s="3" t="str">
        <f>HYPERLINK("https://www.boe.es/gazeta/dias/1818/02/07/pdfs/GMD-1818-17.pdf#page=6","Abrir facsímil")</f>
        <v>Abrir facsímil</v>
      </c>
      <c r="K2058" s="3" t="s">
        <v>38</v>
      </c>
    </row>
    <row r="2059" spans="1:11" ht="42" customHeight="1">
      <c r="A2059" s="2" t="s">
        <v>5060</v>
      </c>
      <c r="B2059" s="2" t="s">
        <v>5060</v>
      </c>
      <c r="C2059" s="2" t="s">
        <v>26</v>
      </c>
      <c r="D2059" s="2" t="s">
        <v>27</v>
      </c>
      <c r="E2059" s="5">
        <v>-29883</v>
      </c>
      <c r="F2059" s="3" t="s">
        <v>823</v>
      </c>
      <c r="G2059" s="3" t="s">
        <v>45</v>
      </c>
      <c r="H2059" s="2" t="s">
        <v>36</v>
      </c>
      <c r="I2059" s="2" t="s">
        <v>5066</v>
      </c>
      <c r="J2059" s="3" t="str">
        <f>HYPERLINK("https://www.boe.es/gazeta/dias/1818/03/07/pdfs/GMD-1818-29.pdf#page=8","Abrir facsímil")</f>
        <v>Abrir facsímil</v>
      </c>
      <c r="K2059" s="3" t="s">
        <v>38</v>
      </c>
    </row>
    <row r="2060" spans="1:11" ht="42" customHeight="1">
      <c r="A2060" s="2" t="s">
        <v>5060</v>
      </c>
      <c r="B2060" s="2" t="s">
        <v>5060</v>
      </c>
      <c r="C2060" s="2" t="s">
        <v>33</v>
      </c>
      <c r="D2060" s="2" t="s">
        <v>18</v>
      </c>
      <c r="E2060" s="5">
        <v>-29880</v>
      </c>
      <c r="F2060" s="3" t="s">
        <v>359</v>
      </c>
      <c r="G2060" s="3" t="s">
        <v>20</v>
      </c>
      <c r="H2060" s="2" t="s">
        <v>36</v>
      </c>
      <c r="I2060" s="2" t="s">
        <v>5067</v>
      </c>
      <c r="J2060" s="3" t="str">
        <f>HYPERLINK("https://www.boe.es/gazeta/dias/1818/03/10/pdfs/GMD-1818-30.pdf#page=7","Abrir facsímil")</f>
        <v>Abrir facsímil</v>
      </c>
      <c r="K2060" s="3" t="s">
        <v>38</v>
      </c>
    </row>
    <row r="2061" spans="1:11" ht="42" customHeight="1">
      <c r="A2061" s="2" t="s">
        <v>5060</v>
      </c>
      <c r="B2061" s="2" t="s">
        <v>5060</v>
      </c>
      <c r="C2061" s="2" t="s">
        <v>68</v>
      </c>
      <c r="D2061" s="2" t="s">
        <v>69</v>
      </c>
      <c r="E2061" s="5">
        <v>-29859</v>
      </c>
      <c r="F2061" s="3" t="s">
        <v>3456</v>
      </c>
      <c r="G2061" s="3" t="s">
        <v>106</v>
      </c>
      <c r="H2061" s="2" t="s">
        <v>36</v>
      </c>
      <c r="I2061" s="2" t="s">
        <v>5068</v>
      </c>
      <c r="J2061" s="3" t="str">
        <f>HYPERLINK("https://www.boe.es/gazeta/dias/1818/03/31/pdfs/GMD-1818-39.pdf#page=5","Abrir facsímil")</f>
        <v>Abrir facsímil</v>
      </c>
      <c r="K2061" s="3" t="s">
        <v>38</v>
      </c>
    </row>
    <row r="2062" spans="1:11" ht="42" customHeight="1">
      <c r="A2062" s="2" t="s">
        <v>5060</v>
      </c>
      <c r="B2062" s="2" t="s">
        <v>5060</v>
      </c>
      <c r="C2062" s="2" t="s">
        <v>17</v>
      </c>
      <c r="D2062" s="2" t="s">
        <v>18</v>
      </c>
      <c r="E2062" s="5">
        <v>-29859</v>
      </c>
      <c r="F2062" s="3" t="s">
        <v>3456</v>
      </c>
      <c r="G2062" s="3" t="s">
        <v>20</v>
      </c>
      <c r="H2062" s="2" t="s">
        <v>36</v>
      </c>
      <c r="I2062" s="2" t="s">
        <v>5069</v>
      </c>
      <c r="J2062" s="3" t="str">
        <f>HYPERLINK("https://www.boe.es/gazeta/dias/1818/03/31/pdfs/GMD-1818-39.pdf#page=7","Abrir facsímil")</f>
        <v>Abrir facsímil</v>
      </c>
      <c r="K2062" s="3" t="s">
        <v>38</v>
      </c>
    </row>
    <row r="2063" spans="1:11" ht="42" customHeight="1">
      <c r="A2063" s="2" t="s">
        <v>5060</v>
      </c>
      <c r="B2063" s="2" t="s">
        <v>5060</v>
      </c>
      <c r="C2063" s="2" t="s">
        <v>68</v>
      </c>
      <c r="D2063" s="2" t="s">
        <v>69</v>
      </c>
      <c r="E2063" s="5">
        <v>-29852</v>
      </c>
      <c r="F2063" s="3" t="s">
        <v>327</v>
      </c>
      <c r="G2063" s="3" t="s">
        <v>106</v>
      </c>
      <c r="H2063" s="2" t="s">
        <v>36</v>
      </c>
      <c r="I2063" s="2" t="s">
        <v>5070</v>
      </c>
      <c r="J2063" s="3" t="str">
        <f>HYPERLINK("https://www.boe.es/gazeta/dias/1818/04/07/pdfs/GMD-1818-42.pdf#page=5","Abrir facsímil")</f>
        <v>Abrir facsímil</v>
      </c>
      <c r="K2063" s="3" t="s">
        <v>38</v>
      </c>
    </row>
    <row r="2064" spans="1:11" ht="42" customHeight="1">
      <c r="A2064" s="2" t="s">
        <v>5060</v>
      </c>
      <c r="B2064" s="2" t="s">
        <v>5060</v>
      </c>
      <c r="C2064" s="2" t="s">
        <v>57</v>
      </c>
      <c r="D2064" s="2" t="s">
        <v>18</v>
      </c>
      <c r="E2064" s="5">
        <v>-29831</v>
      </c>
      <c r="F2064" s="3" t="s">
        <v>567</v>
      </c>
      <c r="G2064" s="3" t="s">
        <v>29</v>
      </c>
      <c r="H2064" s="2" t="s">
        <v>36</v>
      </c>
      <c r="I2064" s="2" t="s">
        <v>5071</v>
      </c>
      <c r="J2064" s="3" t="str">
        <f>HYPERLINK("https://www.boe.es/gazeta/dias/1818/04/28/pdfs/GMD-1818-51.pdf#page=4","Abrir facsímil")</f>
        <v>Abrir facsímil</v>
      </c>
      <c r="K2064" s="3" t="s">
        <v>38</v>
      </c>
    </row>
    <row r="2065" spans="1:11" ht="42" customHeight="1">
      <c r="A2065" s="2" t="s">
        <v>5060</v>
      </c>
      <c r="B2065" s="2" t="s">
        <v>5060</v>
      </c>
      <c r="C2065" s="2" t="s">
        <v>33</v>
      </c>
      <c r="D2065" s="2" t="s">
        <v>18</v>
      </c>
      <c r="E2065" s="5">
        <v>-29829</v>
      </c>
      <c r="F2065" s="3" t="s">
        <v>44</v>
      </c>
      <c r="G2065" s="3" t="s">
        <v>2271</v>
      </c>
      <c r="H2065" s="2" t="s">
        <v>36</v>
      </c>
      <c r="I2065" s="2" t="s">
        <v>5072</v>
      </c>
      <c r="J2065" s="3" t="str">
        <f>HYPERLINK("https://www.boe.es/gazeta/dias/1818/04/30/pdfs/GMD-1818-52.pdf#page=6","Abrir facsímil")</f>
        <v>Abrir facsímil</v>
      </c>
      <c r="K2065" s="3" t="s">
        <v>38</v>
      </c>
    </row>
    <row r="2066" spans="1:11" ht="42" customHeight="1">
      <c r="A2066" s="2" t="s">
        <v>5060</v>
      </c>
      <c r="B2066" s="2" t="s">
        <v>5060</v>
      </c>
      <c r="C2066" s="2" t="s">
        <v>17</v>
      </c>
      <c r="D2066" s="2" t="s">
        <v>18</v>
      </c>
      <c r="E2066" s="5">
        <v>-29829</v>
      </c>
      <c r="F2066" s="3" t="s">
        <v>44</v>
      </c>
      <c r="G2066" s="3" t="s">
        <v>29</v>
      </c>
      <c r="H2066" s="2" t="s">
        <v>36</v>
      </c>
      <c r="I2066" s="2" t="s">
        <v>5073</v>
      </c>
      <c r="J2066" s="3" t="str">
        <f>HYPERLINK("https://www.boe.es/gazeta/dias/1818/04/30/pdfs/GMD-1818-52.pdf#page=4","Abrir facsímil")</f>
        <v>Abrir facsímil</v>
      </c>
      <c r="K2066" s="3" t="s">
        <v>38</v>
      </c>
    </row>
    <row r="2067" spans="1:11" ht="42" customHeight="1">
      <c r="A2067" s="2" t="s">
        <v>5060</v>
      </c>
      <c r="B2067" s="2" t="s">
        <v>5060</v>
      </c>
      <c r="C2067" s="2" t="s">
        <v>215</v>
      </c>
      <c r="D2067" s="2" t="s">
        <v>18</v>
      </c>
      <c r="E2067" s="5">
        <v>-29827</v>
      </c>
      <c r="F2067" s="3" t="s">
        <v>280</v>
      </c>
      <c r="G2067" s="3" t="s">
        <v>106</v>
      </c>
      <c r="H2067" s="2" t="s">
        <v>36</v>
      </c>
      <c r="I2067" s="2" t="s">
        <v>5074</v>
      </c>
      <c r="J2067" s="3" t="str">
        <f>HYPERLINK("https://www.boe.es/gazeta/dias/1818/05/02/pdfs/GMD-1818-53.pdf#page=5","Abrir facsímil")</f>
        <v>Abrir facsímil</v>
      </c>
      <c r="K2067" s="3" t="s">
        <v>38</v>
      </c>
    </row>
    <row r="2068" spans="1:11" ht="42" customHeight="1">
      <c r="A2068" s="2" t="s">
        <v>5060</v>
      </c>
      <c r="B2068" s="2" t="s">
        <v>5060</v>
      </c>
      <c r="C2068" s="2" t="s">
        <v>57</v>
      </c>
      <c r="D2068" s="2" t="s">
        <v>18</v>
      </c>
      <c r="E2068" s="5">
        <v>-29822</v>
      </c>
      <c r="F2068" s="3" t="s">
        <v>373</v>
      </c>
      <c r="G2068" s="3" t="s">
        <v>20</v>
      </c>
      <c r="H2068" s="2" t="s">
        <v>36</v>
      </c>
      <c r="I2068" s="2" t="s">
        <v>5075</v>
      </c>
      <c r="J2068" s="3" t="str">
        <f>HYPERLINK("https://www.boe.es/gazeta/dias/1818/05/07/pdfs/GMD-1818-55.pdf#page=7","Abrir facsímil")</f>
        <v>Abrir facsímil</v>
      </c>
      <c r="K2068" s="3" t="s">
        <v>38</v>
      </c>
    </row>
    <row r="2069" spans="1:11" ht="42" customHeight="1">
      <c r="A2069" s="2" t="s">
        <v>5060</v>
      </c>
      <c r="B2069" s="2" t="s">
        <v>5060</v>
      </c>
      <c r="C2069" s="2" t="s">
        <v>26</v>
      </c>
      <c r="D2069" s="2" t="s">
        <v>27</v>
      </c>
      <c r="E2069" s="5">
        <v>-29820</v>
      </c>
      <c r="F2069" s="3" t="s">
        <v>2971</v>
      </c>
      <c r="G2069" s="3" t="s">
        <v>106</v>
      </c>
      <c r="H2069" s="2" t="s">
        <v>36</v>
      </c>
      <c r="I2069" s="2" t="s">
        <v>5076</v>
      </c>
      <c r="J2069" s="3" t="str">
        <f>HYPERLINK("https://www.boe.es/gazeta/dias/1818/05/09/pdfs/GMD-1818-56.pdf#page=5","Abrir facsímil")</f>
        <v>Abrir facsímil</v>
      </c>
      <c r="K2069" s="3" t="s">
        <v>38</v>
      </c>
    </row>
    <row r="2070" spans="1:11" ht="42" customHeight="1">
      <c r="A2070" s="2" t="s">
        <v>5060</v>
      </c>
      <c r="B2070" s="2" t="s">
        <v>5060</v>
      </c>
      <c r="C2070" s="2" t="s">
        <v>17</v>
      </c>
      <c r="D2070" s="2" t="s">
        <v>18</v>
      </c>
      <c r="E2070" s="5">
        <v>-29817</v>
      </c>
      <c r="F2070" s="3" t="s">
        <v>284</v>
      </c>
      <c r="G2070" s="3" t="s">
        <v>106</v>
      </c>
      <c r="H2070" s="2" t="s">
        <v>36</v>
      </c>
      <c r="I2070" s="2" t="s">
        <v>5077</v>
      </c>
      <c r="J2070" s="3" t="str">
        <f>HYPERLINK("https://www.boe.es/gazeta/dias/1818/05/12/pdfs/GMD-1818-57.pdf#page=5","Abrir facsímil")</f>
        <v>Abrir facsímil</v>
      </c>
      <c r="K2070" s="3" t="s">
        <v>38</v>
      </c>
    </row>
    <row r="2071" spans="1:11" ht="42" customHeight="1">
      <c r="A2071" s="2" t="s">
        <v>5060</v>
      </c>
      <c r="B2071" s="2" t="s">
        <v>5060</v>
      </c>
      <c r="C2071" s="2" t="s">
        <v>26</v>
      </c>
      <c r="D2071" s="2" t="s">
        <v>27</v>
      </c>
      <c r="E2071" s="5">
        <v>-29815</v>
      </c>
      <c r="F2071" s="3" t="s">
        <v>2169</v>
      </c>
      <c r="G2071" s="3" t="s">
        <v>2812</v>
      </c>
      <c r="H2071" s="2" t="s">
        <v>36</v>
      </c>
      <c r="I2071" s="2" t="s">
        <v>5078</v>
      </c>
      <c r="J2071" s="3" t="str">
        <f>HYPERLINK("https://www.boe.es/gazeta/dias/1818/05/14/pdfs/GMD-1818-58.pdf#page=5","Abrir facsímil")</f>
        <v>Abrir facsímil</v>
      </c>
      <c r="K2071" s="3" t="s">
        <v>38</v>
      </c>
    </row>
    <row r="2072" spans="1:11" ht="42" customHeight="1">
      <c r="A2072" s="2" t="s">
        <v>5060</v>
      </c>
      <c r="B2072" s="2" t="s">
        <v>5060</v>
      </c>
      <c r="C2072" s="2" t="s">
        <v>68</v>
      </c>
      <c r="D2072" s="2" t="s">
        <v>69</v>
      </c>
      <c r="E2072" s="5">
        <v>-29813</v>
      </c>
      <c r="F2072" s="3" t="s">
        <v>839</v>
      </c>
      <c r="G2072" s="3" t="s">
        <v>120</v>
      </c>
      <c r="H2072" s="2" t="s">
        <v>36</v>
      </c>
      <c r="I2072" s="2" t="s">
        <v>5079</v>
      </c>
      <c r="J2072" s="3" t="str">
        <f>HYPERLINK("https://www.boe.es/gazeta/dias/1818/05/16/pdfs/GMD-1818-59.pdf#page=2","Abrir facsímil")</f>
        <v>Abrir facsímil</v>
      </c>
      <c r="K2072" s="3" t="s">
        <v>38</v>
      </c>
    </row>
    <row r="2073" spans="1:11" ht="42" customHeight="1">
      <c r="A2073" s="2" t="s">
        <v>5060</v>
      </c>
      <c r="B2073" s="2" t="s">
        <v>5060</v>
      </c>
      <c r="C2073" s="2" t="s">
        <v>57</v>
      </c>
      <c r="D2073" s="2" t="s">
        <v>18</v>
      </c>
      <c r="E2073" s="5">
        <v>-29810</v>
      </c>
      <c r="F2073" s="3" t="s">
        <v>222</v>
      </c>
      <c r="G2073" s="3" t="s">
        <v>59</v>
      </c>
      <c r="H2073" s="2" t="s">
        <v>36</v>
      </c>
      <c r="I2073" s="2" t="s">
        <v>5080</v>
      </c>
      <c r="J2073" s="3" t="str">
        <f>HYPERLINK("https://www.boe.es/gazeta/dias/1818/05/19/pdfs/GMD-1818-60.pdf#page=6","Abrir facsímil")</f>
        <v>Abrir facsímil</v>
      </c>
      <c r="K2073" s="3" t="s">
        <v>38</v>
      </c>
    </row>
    <row r="2074" spans="1:11" ht="42" customHeight="1">
      <c r="A2074" s="2" t="s">
        <v>5060</v>
      </c>
      <c r="B2074" s="2" t="s">
        <v>5060</v>
      </c>
      <c r="C2074" s="2" t="s">
        <v>17</v>
      </c>
      <c r="D2074" s="2" t="s">
        <v>18</v>
      </c>
      <c r="E2074" s="5">
        <v>-29808</v>
      </c>
      <c r="F2074" s="3" t="s">
        <v>80</v>
      </c>
      <c r="G2074" s="3" t="s">
        <v>59</v>
      </c>
      <c r="H2074" s="2" t="s">
        <v>36</v>
      </c>
      <c r="I2074" s="2" t="s">
        <v>5081</v>
      </c>
      <c r="J2074" s="3" t="str">
        <f>HYPERLINK("https://www.boe.es/gazeta/dias/1818/05/21/pdfs/GMD-1818-61.pdf#page=6","Abrir facsímil")</f>
        <v>Abrir facsímil</v>
      </c>
      <c r="K2074" s="3" t="s">
        <v>38</v>
      </c>
    </row>
    <row r="2075" spans="1:11" ht="42" customHeight="1">
      <c r="A2075" s="2" t="s">
        <v>5060</v>
      </c>
      <c r="B2075" s="2" t="s">
        <v>5060</v>
      </c>
      <c r="C2075" s="2" t="s">
        <v>33</v>
      </c>
      <c r="D2075" s="2" t="s">
        <v>18</v>
      </c>
      <c r="E2075" s="5">
        <v>-29803</v>
      </c>
      <c r="F2075" s="3" t="s">
        <v>1393</v>
      </c>
      <c r="G2075" s="3" t="s">
        <v>45</v>
      </c>
      <c r="H2075" s="2" t="s">
        <v>36</v>
      </c>
      <c r="I2075" s="2" t="s">
        <v>5082</v>
      </c>
      <c r="J2075" s="3" t="str">
        <f>HYPERLINK("https://www.boe.es/gazeta/dias/1818/05/26/pdfs/GMD-1818-63.pdf#page=8","Abrir facsímil")</f>
        <v>Abrir facsímil</v>
      </c>
      <c r="K2075" s="3" t="s">
        <v>38</v>
      </c>
    </row>
    <row r="2076" spans="1:11" ht="42" customHeight="1">
      <c r="A2076" s="2" t="s">
        <v>5060</v>
      </c>
      <c r="B2076" s="2" t="s">
        <v>5060</v>
      </c>
      <c r="C2076" s="2" t="s">
        <v>26</v>
      </c>
      <c r="D2076" s="2" t="s">
        <v>27</v>
      </c>
      <c r="E2076" s="5">
        <v>-29796</v>
      </c>
      <c r="F2076" s="3" t="s">
        <v>1359</v>
      </c>
      <c r="G2076" s="3" t="s">
        <v>49</v>
      </c>
      <c r="H2076" s="2" t="s">
        <v>36</v>
      </c>
      <c r="I2076" s="2" t="s">
        <v>5083</v>
      </c>
      <c r="J2076" s="3" t="str">
        <f>HYPERLINK("https://www.boe.es/gazeta/dias/1818/06/02/pdfs/GMD-1818-66.pdf#page=1","Abrir facsímil")</f>
        <v>Abrir facsímil</v>
      </c>
      <c r="K2076" s="3" t="s">
        <v>38</v>
      </c>
    </row>
    <row r="2077" spans="1:11" ht="42" customHeight="1">
      <c r="A2077" s="2" t="s">
        <v>5060</v>
      </c>
      <c r="B2077" s="2" t="s">
        <v>5060</v>
      </c>
      <c r="C2077" s="2" t="s">
        <v>97</v>
      </c>
      <c r="D2077" s="2" t="s">
        <v>18</v>
      </c>
      <c r="E2077" s="5">
        <v>-29796</v>
      </c>
      <c r="F2077" s="3" t="s">
        <v>1359</v>
      </c>
      <c r="G2077" s="3" t="s">
        <v>120</v>
      </c>
      <c r="H2077" s="2" t="s">
        <v>36</v>
      </c>
      <c r="I2077" s="2" t="s">
        <v>5084</v>
      </c>
      <c r="J2077" s="3" t="str">
        <f>HYPERLINK("https://www.boe.es/gazeta/dias/1818/06/02/pdfs/GMD-1818-66.pdf#page=2","Abrir facsímil")</f>
        <v>Abrir facsímil</v>
      </c>
      <c r="K2077" s="3" t="s">
        <v>38</v>
      </c>
    </row>
    <row r="2078" spans="1:11" ht="42" customHeight="1">
      <c r="A2078" s="2" t="s">
        <v>5060</v>
      </c>
      <c r="B2078" s="2" t="s">
        <v>5060</v>
      </c>
      <c r="C2078" s="2" t="s">
        <v>17</v>
      </c>
      <c r="D2078" s="2" t="s">
        <v>18</v>
      </c>
      <c r="E2078" s="5">
        <v>-29754</v>
      </c>
      <c r="F2078" s="3" t="s">
        <v>466</v>
      </c>
      <c r="G2078" s="3" t="s">
        <v>59</v>
      </c>
      <c r="H2078" s="2" t="s">
        <v>36</v>
      </c>
      <c r="I2078" s="2" t="s">
        <v>5085</v>
      </c>
      <c r="J2078" s="3" t="str">
        <f>HYPERLINK("https://www.boe.es/gazeta/dias/1818/07/14/pdfs/GMD-1818-84.pdf#page=6","Abrir facsímil")</f>
        <v>Abrir facsímil</v>
      </c>
      <c r="K2078" s="3" t="s">
        <v>38</v>
      </c>
    </row>
    <row r="2079" spans="1:11" ht="42" customHeight="1">
      <c r="A2079" s="2" t="s">
        <v>5060</v>
      </c>
      <c r="B2079" s="2" t="s">
        <v>5060</v>
      </c>
      <c r="C2079" s="2" t="s">
        <v>97</v>
      </c>
      <c r="D2079" s="2" t="s">
        <v>18</v>
      </c>
      <c r="E2079" s="5">
        <v>-29740</v>
      </c>
      <c r="F2079" s="3" t="s">
        <v>152</v>
      </c>
      <c r="G2079" s="3" t="s">
        <v>29</v>
      </c>
      <c r="H2079" s="2" t="s">
        <v>36</v>
      </c>
      <c r="I2079" s="2" t="s">
        <v>5086</v>
      </c>
      <c r="J2079" s="3" t="str">
        <f>HYPERLINK("https://www.boe.es/gazeta/dias/1818/07/28/pdfs/GMD-1818-90.pdf#page=4","Abrir facsímil")</f>
        <v>Abrir facsímil</v>
      </c>
      <c r="K2079" s="3" t="s">
        <v>38</v>
      </c>
    </row>
    <row r="2080" spans="1:11" ht="42" customHeight="1">
      <c r="A2080" s="2" t="s">
        <v>5060</v>
      </c>
      <c r="B2080" s="2" t="s">
        <v>5060</v>
      </c>
      <c r="C2080" s="2" t="s">
        <v>68</v>
      </c>
      <c r="D2080" s="2" t="s">
        <v>69</v>
      </c>
      <c r="E2080" s="5">
        <v>-29731</v>
      </c>
      <c r="F2080" s="3" t="s">
        <v>299</v>
      </c>
      <c r="G2080" s="3" t="s">
        <v>29</v>
      </c>
      <c r="H2080" s="2" t="s">
        <v>36</v>
      </c>
      <c r="I2080" s="2" t="s">
        <v>5087</v>
      </c>
      <c r="J2080" s="3" t="str">
        <f>HYPERLINK("https://www.boe.es/gazeta/dias/1818/08/06/pdfs/GMD-1818-94.pdf#page=4","Abrir facsímil")</f>
        <v>Abrir facsímil</v>
      </c>
      <c r="K2080" s="3" t="s">
        <v>38</v>
      </c>
    </row>
    <row r="2081" spans="1:11" ht="42" customHeight="1">
      <c r="A2081" s="2" t="s">
        <v>5060</v>
      </c>
      <c r="B2081" s="2" t="s">
        <v>5060</v>
      </c>
      <c r="C2081" s="2" t="s">
        <v>26</v>
      </c>
      <c r="D2081" s="2" t="s">
        <v>27</v>
      </c>
      <c r="E2081" s="5">
        <v>-29731</v>
      </c>
      <c r="F2081" s="3" t="s">
        <v>299</v>
      </c>
      <c r="G2081" s="3" t="s">
        <v>106</v>
      </c>
      <c r="H2081" s="2" t="s">
        <v>36</v>
      </c>
      <c r="I2081" s="2" t="s">
        <v>5088</v>
      </c>
      <c r="J2081" s="3" t="str">
        <f>HYPERLINK("https://www.boe.es/gazeta/dias/1818/08/06/pdfs/GMD-1818-94.pdf#page=5","Abrir facsímil")</f>
        <v>Abrir facsímil</v>
      </c>
      <c r="K2081" s="3" t="s">
        <v>38</v>
      </c>
    </row>
    <row r="2082" spans="1:11" ht="42" customHeight="1">
      <c r="A2082" s="2" t="s">
        <v>5060</v>
      </c>
      <c r="B2082" s="2" t="s">
        <v>5060</v>
      </c>
      <c r="C2082" s="2" t="s">
        <v>17</v>
      </c>
      <c r="D2082" s="2" t="s">
        <v>18</v>
      </c>
      <c r="E2082" s="5">
        <v>-29703</v>
      </c>
      <c r="F2082" s="3" t="s">
        <v>294</v>
      </c>
      <c r="G2082" s="3" t="s">
        <v>59</v>
      </c>
      <c r="H2082" s="2" t="s">
        <v>36</v>
      </c>
      <c r="I2082" s="2" t="s">
        <v>5089</v>
      </c>
      <c r="J2082" s="3" t="str">
        <f>HYPERLINK("https://www.boe.es/gazeta/dias/1818/09/03/pdfs/GMD-1818-106.pdf#page=6","Abrir facsímil")</f>
        <v>Abrir facsímil</v>
      </c>
      <c r="K2082" s="3" t="s">
        <v>38</v>
      </c>
    </row>
    <row r="2083" spans="1:11" ht="42" customHeight="1">
      <c r="A2083" s="2" t="s">
        <v>5060</v>
      </c>
      <c r="B2083" s="2" t="s">
        <v>5060</v>
      </c>
      <c r="C2083" s="2" t="s">
        <v>17</v>
      </c>
      <c r="D2083" s="2" t="s">
        <v>18</v>
      </c>
      <c r="E2083" s="5">
        <v>-29691</v>
      </c>
      <c r="F2083" s="3" t="s">
        <v>144</v>
      </c>
      <c r="G2083" s="3" t="s">
        <v>3860</v>
      </c>
      <c r="H2083" s="2" t="s">
        <v>36</v>
      </c>
      <c r="I2083" s="2" t="s">
        <v>5090</v>
      </c>
      <c r="J2083" s="3" t="str">
        <f>HYPERLINK("https://www.boe.es/gazeta/dias/1818/09/15/pdfs/GMD-1818-111.pdf#page=7","Abrir facsímil")</f>
        <v>Abrir facsímil</v>
      </c>
      <c r="K2083" s="3" t="s">
        <v>38</v>
      </c>
    </row>
    <row r="2084" spans="1:11" ht="42" customHeight="1">
      <c r="A2084" s="2" t="s">
        <v>5060</v>
      </c>
      <c r="B2084" s="2" t="s">
        <v>5060</v>
      </c>
      <c r="C2084" s="2" t="s">
        <v>63</v>
      </c>
      <c r="D2084" s="2" t="s">
        <v>18</v>
      </c>
      <c r="E2084" s="5">
        <v>-29691</v>
      </c>
      <c r="F2084" s="3" t="s">
        <v>144</v>
      </c>
      <c r="G2084" s="3" t="s">
        <v>45</v>
      </c>
      <c r="H2084" s="2" t="s">
        <v>36</v>
      </c>
      <c r="I2084" s="2" t="s">
        <v>5091</v>
      </c>
      <c r="J2084" s="3" t="str">
        <f>HYPERLINK("https://www.boe.es/gazeta/dias/1818/09/15/pdfs/GMD-1818-111.pdf#page=8","Abrir facsímil")</f>
        <v>Abrir facsímil</v>
      </c>
      <c r="K2084" s="3" t="s">
        <v>38</v>
      </c>
    </row>
    <row r="2085" spans="1:11" ht="42" customHeight="1">
      <c r="A2085" s="2" t="s">
        <v>5060</v>
      </c>
      <c r="B2085" s="2" t="s">
        <v>5060</v>
      </c>
      <c r="C2085" s="2" t="s">
        <v>17</v>
      </c>
      <c r="D2085" s="2" t="s">
        <v>18</v>
      </c>
      <c r="E2085" s="5">
        <v>-29682</v>
      </c>
      <c r="F2085" s="3" t="s">
        <v>170</v>
      </c>
      <c r="G2085" s="3" t="s">
        <v>59</v>
      </c>
      <c r="H2085" s="2" t="s">
        <v>36</v>
      </c>
      <c r="I2085" s="2" t="s">
        <v>5092</v>
      </c>
      <c r="J2085" s="3" t="str">
        <f>HYPERLINK("https://www.boe.es/gazeta/dias/1818/09/24/pdfs/GMD-1818-115.pdf#page=6","Abrir facsímil")</f>
        <v>Abrir facsímil</v>
      </c>
      <c r="K2085" s="3" t="s">
        <v>38</v>
      </c>
    </row>
    <row r="2086" spans="1:11" ht="42" customHeight="1">
      <c r="A2086" s="2" t="s">
        <v>5060</v>
      </c>
      <c r="B2086" s="2" t="s">
        <v>5060</v>
      </c>
      <c r="C2086" s="2" t="s">
        <v>215</v>
      </c>
      <c r="D2086" s="2" t="s">
        <v>18</v>
      </c>
      <c r="E2086" s="5">
        <v>-29677</v>
      </c>
      <c r="F2086" s="3" t="s">
        <v>157</v>
      </c>
      <c r="G2086" s="3" t="s">
        <v>158</v>
      </c>
      <c r="H2086" s="2" t="s">
        <v>36</v>
      </c>
      <c r="I2086" s="2" t="s">
        <v>5093</v>
      </c>
      <c r="J2086" s="3" t="str">
        <f>HYPERLINK("https://www.boe.es/gazeta/dias/1818/09/29/pdfs/GMD-1818-117.pdf#page=8","Abrir facsímil")</f>
        <v>Abrir facsímil</v>
      </c>
      <c r="K2086" s="3" t="s">
        <v>38</v>
      </c>
    </row>
    <row r="2087" spans="1:11" ht="42" customHeight="1">
      <c r="A2087" s="2" t="s">
        <v>5060</v>
      </c>
      <c r="B2087" s="2" t="s">
        <v>5060</v>
      </c>
      <c r="C2087" s="2" t="s">
        <v>215</v>
      </c>
      <c r="D2087" s="2" t="s">
        <v>18</v>
      </c>
      <c r="E2087" s="5">
        <v>-29670</v>
      </c>
      <c r="F2087" s="3" t="s">
        <v>48</v>
      </c>
      <c r="G2087" s="3" t="s">
        <v>120</v>
      </c>
      <c r="H2087" s="2" t="s">
        <v>36</v>
      </c>
      <c r="I2087" s="2" t="s">
        <v>5094</v>
      </c>
      <c r="J2087" s="3" t="str">
        <f>HYPERLINK("https://www.boe.es/gazeta/dias/1818/10/06/pdfs/GMD-1818-120.pdf#page=2","Abrir facsímil")</f>
        <v>Abrir facsímil</v>
      </c>
      <c r="K2087" s="3" t="s">
        <v>38</v>
      </c>
    </row>
    <row r="2088" spans="1:11" ht="42" customHeight="1">
      <c r="A2088" s="2" t="s">
        <v>5060</v>
      </c>
      <c r="B2088" s="2" t="s">
        <v>5060</v>
      </c>
      <c r="C2088" s="2" t="s">
        <v>26</v>
      </c>
      <c r="D2088" s="2" t="s">
        <v>27</v>
      </c>
      <c r="E2088" s="5">
        <v>-29621</v>
      </c>
      <c r="F2088" s="3" t="s">
        <v>1561</v>
      </c>
      <c r="G2088" s="3" t="s">
        <v>1562</v>
      </c>
      <c r="H2088" s="2" t="s">
        <v>36</v>
      </c>
      <c r="I2088" s="2" t="s">
        <v>5095</v>
      </c>
      <c r="J2088" s="3" t="str">
        <f>HYPERLINK("https://www.boe.es/gazeta/dias/1818/11/24/pdfs/GMD-1818-142.pdf#page=7","Abrir facsímil")</f>
        <v>Abrir facsímil</v>
      </c>
      <c r="K2088" s="3" t="s">
        <v>38</v>
      </c>
    </row>
    <row r="2089" spans="1:11" ht="42" customHeight="1">
      <c r="A2089" s="2" t="s">
        <v>5060</v>
      </c>
      <c r="B2089" s="2" t="s">
        <v>5060</v>
      </c>
      <c r="C2089" s="2" t="s">
        <v>33</v>
      </c>
      <c r="D2089" s="2" t="s">
        <v>18</v>
      </c>
      <c r="E2089" s="5">
        <v>-29612</v>
      </c>
      <c r="F2089" s="3" t="s">
        <v>1765</v>
      </c>
      <c r="G2089" s="3" t="s">
        <v>106</v>
      </c>
      <c r="H2089" s="2" t="s">
        <v>36</v>
      </c>
      <c r="I2089" s="2" t="s">
        <v>5096</v>
      </c>
      <c r="J2089" s="3" t="str">
        <f>HYPERLINK("https://www.boe.es/gazeta/dias/1818/12/03/pdfs/GMD-1818-146.pdf#page=5","Abrir facsímil")</f>
        <v>Abrir facsímil</v>
      </c>
      <c r="K2089" s="3" t="s">
        <v>38</v>
      </c>
    </row>
    <row r="2090" spans="1:11" ht="42" customHeight="1">
      <c r="A2090" s="2" t="s">
        <v>5060</v>
      </c>
      <c r="B2090" s="2" t="s">
        <v>5060</v>
      </c>
      <c r="C2090" s="2" t="s">
        <v>68</v>
      </c>
      <c r="D2090" s="2" t="s">
        <v>69</v>
      </c>
      <c r="E2090" s="5">
        <v>-29586</v>
      </c>
      <c r="F2090" s="3" t="s">
        <v>683</v>
      </c>
      <c r="G2090" s="3" t="s">
        <v>45</v>
      </c>
      <c r="H2090" s="2" t="s">
        <v>36</v>
      </c>
      <c r="I2090" s="2" t="s">
        <v>5097</v>
      </c>
      <c r="J2090" s="3" t="str">
        <f>HYPERLINK("https://www.boe.es/gazeta/dias/1818/12/29/pdfs/GMD-1818-158.pdf#page=8","Abrir facsímil")</f>
        <v>Abrir facsímil</v>
      </c>
      <c r="K2090" s="3" t="s">
        <v>38</v>
      </c>
    </row>
    <row r="2091" spans="1:11" ht="42" customHeight="1">
      <c r="A2091" s="2" t="s">
        <v>5098</v>
      </c>
      <c r="B2091" s="2" t="s">
        <v>5099</v>
      </c>
      <c r="C2091" s="2" t="s">
        <v>33</v>
      </c>
      <c r="D2091" s="2" t="s">
        <v>18</v>
      </c>
      <c r="E2091" s="5">
        <v>-29736</v>
      </c>
      <c r="F2091" s="3" t="s">
        <v>581</v>
      </c>
      <c r="G2091" s="3" t="s">
        <v>106</v>
      </c>
      <c r="H2091" s="2" t="s">
        <v>36</v>
      </c>
      <c r="I2091" s="2" t="s">
        <v>5100</v>
      </c>
      <c r="J2091" s="3" t="str">
        <f>HYPERLINK("https://www.boe.es/gazeta/dias/1818/08/01/pdfs/GMD-1818-92.pdf#page=5","Abrir facsímil")</f>
        <v>Abrir facsímil</v>
      </c>
      <c r="K2091" s="3" t="s">
        <v>38</v>
      </c>
    </row>
    <row r="2092" spans="1:11" ht="42" customHeight="1">
      <c r="A2092" s="2" t="s">
        <v>5101</v>
      </c>
      <c r="B2092" s="2" t="s">
        <v>5101</v>
      </c>
      <c r="C2092" s="2" t="s">
        <v>26</v>
      </c>
      <c r="D2092" s="2" t="s">
        <v>27</v>
      </c>
      <c r="E2092" s="5">
        <v>-29901</v>
      </c>
      <c r="F2092" s="3" t="s">
        <v>417</v>
      </c>
      <c r="G2092" s="3" t="s">
        <v>111</v>
      </c>
      <c r="H2092" s="2" t="s">
        <v>36</v>
      </c>
      <c r="I2092" s="2" t="s">
        <v>5102</v>
      </c>
      <c r="J2092" s="3" t="str">
        <f>HYPERLINK("https://www.boe.es/gazeta/dias/1818/02/17/pdfs/GMD-1818-21.pdf#page=11","Abrir facsímil")</f>
        <v>Abrir facsímil</v>
      </c>
      <c r="K2092" s="3" t="s">
        <v>38</v>
      </c>
    </row>
    <row r="2093" spans="1:11" ht="42" customHeight="1">
      <c r="A2093" s="2" t="s">
        <v>5101</v>
      </c>
      <c r="B2093" s="2" t="s">
        <v>5101</v>
      </c>
      <c r="C2093" s="2" t="s">
        <v>26</v>
      </c>
      <c r="D2093" s="2" t="s">
        <v>27</v>
      </c>
      <c r="E2093" s="5">
        <v>-29848</v>
      </c>
      <c r="F2093" s="3" t="s">
        <v>571</v>
      </c>
      <c r="G2093" s="3" t="s">
        <v>59</v>
      </c>
      <c r="H2093" s="2" t="s">
        <v>36</v>
      </c>
      <c r="I2093" s="2" t="s">
        <v>5103</v>
      </c>
      <c r="J2093" s="3" t="str">
        <f>HYPERLINK("https://www.boe.es/gazeta/dias/1818/04/11/pdfs/GMD-1818-44.pdf#page=6","Abrir facsímil")</f>
        <v>Abrir facsímil</v>
      </c>
      <c r="K2093" s="3" t="s">
        <v>38</v>
      </c>
    </row>
    <row r="2094" spans="1:11" ht="42" customHeight="1">
      <c r="A2094" s="2" t="s">
        <v>5101</v>
      </c>
      <c r="B2094" s="2" t="s">
        <v>5101</v>
      </c>
      <c r="C2094" s="2" t="s">
        <v>26</v>
      </c>
      <c r="D2094" s="2" t="s">
        <v>27</v>
      </c>
      <c r="E2094" s="5">
        <v>-29796</v>
      </c>
      <c r="F2094" s="3" t="s">
        <v>1359</v>
      </c>
      <c r="G2094" s="3" t="s">
        <v>3198</v>
      </c>
      <c r="H2094" s="2" t="s">
        <v>36</v>
      </c>
      <c r="I2094" s="2" t="s">
        <v>5104</v>
      </c>
      <c r="J2094" s="3" t="str">
        <f>HYPERLINK("https://www.boe.es/gazeta/dias/1818/06/02/pdfs/GMD-1818-66.pdf#page=8","Abrir facsímil")</f>
        <v>Abrir facsímil</v>
      </c>
      <c r="K2094" s="3" t="s">
        <v>38</v>
      </c>
    </row>
    <row r="2095" spans="1:11" ht="42" customHeight="1">
      <c r="A2095" s="2" t="s">
        <v>5105</v>
      </c>
      <c r="B2095" s="2" t="s">
        <v>5106</v>
      </c>
      <c r="C2095" s="2" t="s">
        <v>33</v>
      </c>
      <c r="D2095" s="2" t="s">
        <v>18</v>
      </c>
      <c r="E2095" s="5">
        <v>-29698</v>
      </c>
      <c r="F2095" s="3" t="s">
        <v>148</v>
      </c>
      <c r="G2095" s="3" t="s">
        <v>29</v>
      </c>
      <c r="H2095" s="2" t="s">
        <v>36</v>
      </c>
      <c r="I2095" s="2" t="s">
        <v>5107</v>
      </c>
      <c r="J2095" s="3" t="str">
        <f>HYPERLINK("https://www.boe.es/gazeta/dias/1818/09/08/pdfs/GMD-1818-108.pdf#page=4","Abrir facsímil")</f>
        <v>Abrir facsímil</v>
      </c>
      <c r="K2095" s="3" t="s">
        <v>38</v>
      </c>
    </row>
    <row r="2096" spans="1:11" ht="42" customHeight="1">
      <c r="A2096" s="2" t="s">
        <v>5108</v>
      </c>
      <c r="B2096" s="2" t="s">
        <v>5109</v>
      </c>
      <c r="C2096" s="2" t="s">
        <v>26</v>
      </c>
      <c r="D2096" s="2" t="s">
        <v>27</v>
      </c>
      <c r="E2096" s="5">
        <v>-29638</v>
      </c>
      <c r="F2096" s="3" t="s">
        <v>307</v>
      </c>
      <c r="G2096" s="3" t="s">
        <v>29</v>
      </c>
      <c r="H2096" s="2" t="s">
        <v>36</v>
      </c>
      <c r="I2096" s="2" t="s">
        <v>5110</v>
      </c>
      <c r="J2096" s="3" t="str">
        <f>HYPERLINK("https://www.boe.es/gazeta/dias/1818/11/07/pdfs/GMD-1818-135.pdf#page=4","Abrir facsímil")</f>
        <v>Abrir facsímil</v>
      </c>
      <c r="K2096" s="3" t="s">
        <v>38</v>
      </c>
    </row>
    <row r="2097" spans="1:11" ht="42" customHeight="1">
      <c r="A2097" s="2" t="s">
        <v>5111</v>
      </c>
      <c r="B2097" s="2" t="s">
        <v>5112</v>
      </c>
      <c r="C2097" s="2" t="s">
        <v>17</v>
      </c>
      <c r="D2097" s="2" t="s">
        <v>18</v>
      </c>
      <c r="E2097" s="5">
        <v>-29698</v>
      </c>
      <c r="F2097" s="3" t="s">
        <v>148</v>
      </c>
      <c r="G2097" s="3" t="s">
        <v>29</v>
      </c>
      <c r="H2097" s="2" t="s">
        <v>36</v>
      </c>
      <c r="I2097" s="2" t="s">
        <v>5113</v>
      </c>
      <c r="J2097" s="3" t="str">
        <f>HYPERLINK("https://www.boe.es/gazeta/dias/1818/09/08/pdfs/GMD-1818-108.pdf#page=4","Abrir facsímil")</f>
        <v>Abrir facsímil</v>
      </c>
      <c r="K2097" s="3" t="s">
        <v>38</v>
      </c>
    </row>
    <row r="2098" spans="1:11" ht="42" customHeight="1">
      <c r="A2098" s="2" t="s">
        <v>5114</v>
      </c>
      <c r="B2098" s="2" t="s">
        <v>5115</v>
      </c>
      <c r="C2098" s="2" t="s">
        <v>97</v>
      </c>
      <c r="D2098" s="2" t="s">
        <v>18</v>
      </c>
      <c r="E2098" s="5">
        <v>-29729</v>
      </c>
      <c r="F2098" s="3" t="s">
        <v>488</v>
      </c>
      <c r="G2098" s="3" t="s">
        <v>489</v>
      </c>
      <c r="H2098" s="2" t="s">
        <v>36</v>
      </c>
      <c r="I2098" s="2" t="s">
        <v>5116</v>
      </c>
      <c r="J2098" s="3" t="str">
        <f>HYPERLINK("https://www.boe.es/gazeta/dias/1818/08/08/pdfs/GMD-1818-95.pdf#page=8","Abrir facsímil")</f>
        <v>Abrir facsímil</v>
      </c>
      <c r="K2098" s="3" t="s">
        <v>38</v>
      </c>
    </row>
    <row r="2099" spans="1:11" ht="42" customHeight="1">
      <c r="A2099" s="2" t="s">
        <v>5117</v>
      </c>
      <c r="B2099" s="2" t="s">
        <v>5118</v>
      </c>
      <c r="C2099" s="2" t="s">
        <v>26</v>
      </c>
      <c r="D2099" s="2" t="s">
        <v>27</v>
      </c>
      <c r="E2099" s="5">
        <v>-29831</v>
      </c>
      <c r="F2099" s="3" t="s">
        <v>567</v>
      </c>
      <c r="G2099" s="3" t="s">
        <v>45</v>
      </c>
      <c r="H2099" s="2" t="s">
        <v>36</v>
      </c>
      <c r="I2099" s="2" t="s">
        <v>5119</v>
      </c>
      <c r="J2099" s="3" t="str">
        <f>HYPERLINK("https://www.boe.es/gazeta/dias/1818/04/28/pdfs/GMD-1818-51.pdf#page=8","Abrir facsímil")</f>
        <v>Abrir facsímil</v>
      </c>
      <c r="K2099" s="3" t="s">
        <v>38</v>
      </c>
    </row>
    <row r="2100" spans="1:11" ht="42" customHeight="1">
      <c r="A2100" s="2" t="s">
        <v>5120</v>
      </c>
      <c r="B2100" s="2" t="s">
        <v>5120</v>
      </c>
      <c r="C2100" s="2" t="s">
        <v>68</v>
      </c>
      <c r="D2100" s="2" t="s">
        <v>69</v>
      </c>
      <c r="E2100" s="5">
        <v>-29927</v>
      </c>
      <c r="F2100" s="3" t="s">
        <v>1381</v>
      </c>
      <c r="G2100" s="3" t="s">
        <v>45</v>
      </c>
      <c r="H2100" s="2" t="s">
        <v>36</v>
      </c>
      <c r="I2100" s="2" t="s">
        <v>5121</v>
      </c>
      <c r="J2100" s="3" t="str">
        <f>HYPERLINK("https://www.boe.es/gazeta/dias/1818/01/22/pdfs/GMD-1818-10.pdf#page=8","Abrir facsímil")</f>
        <v>Abrir facsímil</v>
      </c>
      <c r="K2100" s="3" t="s">
        <v>38</v>
      </c>
    </row>
    <row r="2101" spans="1:11" ht="42" customHeight="1">
      <c r="A2101" s="2" t="s">
        <v>5120</v>
      </c>
      <c r="B2101" s="2" t="s">
        <v>5120</v>
      </c>
      <c r="C2101" s="2" t="s">
        <v>26</v>
      </c>
      <c r="D2101" s="2" t="s">
        <v>27</v>
      </c>
      <c r="E2101" s="5">
        <v>-29920</v>
      </c>
      <c r="F2101" s="3" t="s">
        <v>201</v>
      </c>
      <c r="G2101" s="3" t="s">
        <v>503</v>
      </c>
      <c r="H2101" s="2" t="s">
        <v>36</v>
      </c>
      <c r="I2101" s="2" t="s">
        <v>5122</v>
      </c>
      <c r="J2101" s="3" t="str">
        <f>HYPERLINK("https://www.boe.es/gazeta/dias/1818/01/29/pdfs/GMD-1818-13.pdf#page=10","Abrir facsímil")</f>
        <v>Abrir facsímil</v>
      </c>
      <c r="K2101" s="3" t="s">
        <v>38</v>
      </c>
    </row>
    <row r="2102" spans="1:11" ht="42" customHeight="1">
      <c r="A2102" s="2" t="s">
        <v>5120</v>
      </c>
      <c r="B2102" s="2" t="s">
        <v>5120</v>
      </c>
      <c r="C2102" s="2" t="s">
        <v>26</v>
      </c>
      <c r="D2102" s="2" t="s">
        <v>27</v>
      </c>
      <c r="E2102" s="5">
        <v>-29920</v>
      </c>
      <c r="F2102" s="3" t="s">
        <v>201</v>
      </c>
      <c r="G2102" s="3" t="s">
        <v>106</v>
      </c>
      <c r="H2102" s="2" t="s">
        <v>36</v>
      </c>
      <c r="I2102" s="2" t="s">
        <v>5123</v>
      </c>
      <c r="J2102" s="3" t="str">
        <f>HYPERLINK("https://www.boe.es/gazeta/dias/1818/01/29/pdfs/GMD-1818-13.pdf#page=5","Abrir facsímil")</f>
        <v>Abrir facsímil</v>
      </c>
      <c r="K2102" s="3" t="s">
        <v>38</v>
      </c>
    </row>
    <row r="2103" spans="1:11" ht="42" customHeight="1">
      <c r="A2103" s="2" t="s">
        <v>5124</v>
      </c>
      <c r="B2103" s="2" t="s">
        <v>5125</v>
      </c>
      <c r="C2103" s="2" t="s">
        <v>63</v>
      </c>
      <c r="D2103" s="2" t="s">
        <v>18</v>
      </c>
      <c r="E2103" s="5">
        <v>-29666</v>
      </c>
      <c r="F2103" s="3" t="s">
        <v>258</v>
      </c>
      <c r="G2103" s="3" t="s">
        <v>20</v>
      </c>
      <c r="H2103" s="2" t="s">
        <v>36</v>
      </c>
      <c r="I2103" s="2" t="s">
        <v>5126</v>
      </c>
      <c r="J2103" s="3" t="str">
        <f>HYPERLINK("https://www.boe.es/gazeta/dias/1818/10/10/pdfs/GMD-1818-122.pdf#page=7","Abrir facsímil")</f>
        <v>Abrir facsímil</v>
      </c>
      <c r="K2103" s="3" t="s">
        <v>38</v>
      </c>
    </row>
    <row r="2104" spans="1:11" ht="42" customHeight="1">
      <c r="A2104" s="2" t="s">
        <v>5127</v>
      </c>
      <c r="B2104" s="2" t="s">
        <v>5128</v>
      </c>
      <c r="C2104" s="2" t="s">
        <v>26</v>
      </c>
      <c r="D2104" s="2" t="s">
        <v>668</v>
      </c>
      <c r="E2104" s="5">
        <v>-29661</v>
      </c>
      <c r="F2104" s="3" t="s">
        <v>669</v>
      </c>
      <c r="G2104" s="3" t="s">
        <v>120</v>
      </c>
      <c r="H2104" s="2" t="s">
        <v>36</v>
      </c>
      <c r="I2104" s="2" t="s">
        <v>5129</v>
      </c>
      <c r="J2104" s="3" t="str">
        <f>HYPERLINK("https://www.boe.es/gazeta/dias/1818/10/15/pdfs/GMD-1818-125E.pdf#page=2","Abrir facsímil")</f>
        <v>Abrir facsímil</v>
      </c>
      <c r="K2104" s="3" t="s">
        <v>38</v>
      </c>
    </row>
    <row r="2105" spans="1:11" ht="42" customHeight="1">
      <c r="A2105" s="2" t="s">
        <v>5130</v>
      </c>
      <c r="B2105" s="2" t="s">
        <v>5131</v>
      </c>
      <c r="C2105" s="2" t="s">
        <v>17</v>
      </c>
      <c r="D2105" s="2" t="s">
        <v>18</v>
      </c>
      <c r="E2105" s="5">
        <v>-29677</v>
      </c>
      <c r="F2105" s="3" t="s">
        <v>157</v>
      </c>
      <c r="G2105" s="3" t="s">
        <v>29</v>
      </c>
      <c r="H2105" s="2" t="s">
        <v>36</v>
      </c>
      <c r="I2105" s="2" t="s">
        <v>5132</v>
      </c>
      <c r="J2105" s="3" t="str">
        <f>HYPERLINK("https://www.boe.es/gazeta/dias/1818/09/29/pdfs/GMD-1818-117.pdf#page=4","Abrir facsímil")</f>
        <v>Abrir facsímil</v>
      </c>
      <c r="K2105" s="3" t="s">
        <v>38</v>
      </c>
    </row>
    <row r="2106" spans="1:11" ht="42" customHeight="1">
      <c r="A2106" s="2" t="s">
        <v>5133</v>
      </c>
      <c r="B2106" s="2" t="s">
        <v>5133</v>
      </c>
      <c r="C2106" s="2" t="s">
        <v>17</v>
      </c>
      <c r="D2106" s="2" t="s">
        <v>18</v>
      </c>
      <c r="E2106" s="5">
        <v>-29750</v>
      </c>
      <c r="F2106" s="3" t="s">
        <v>384</v>
      </c>
      <c r="G2106" s="3" t="s">
        <v>418</v>
      </c>
      <c r="H2106" s="2" t="s">
        <v>36</v>
      </c>
      <c r="I2106" s="2" t="s">
        <v>5134</v>
      </c>
      <c r="J2106" s="3" t="str">
        <f>HYPERLINK("https://www.boe.es/gazeta/dias/1818/07/18/pdfs/GMD-1818-86.pdf#page=9","Abrir facsímil")</f>
        <v>Abrir facsímil</v>
      </c>
      <c r="K2106" s="3" t="s">
        <v>38</v>
      </c>
    </row>
    <row r="2107" spans="1:11" ht="42" customHeight="1">
      <c r="A2107" s="2" t="s">
        <v>5135</v>
      </c>
      <c r="B2107" s="2" t="s">
        <v>5135</v>
      </c>
      <c r="C2107" s="2" t="s">
        <v>26</v>
      </c>
      <c r="D2107" s="2" t="s">
        <v>27</v>
      </c>
      <c r="E2107" s="5">
        <v>-29911</v>
      </c>
      <c r="F2107" s="3" t="s">
        <v>509</v>
      </c>
      <c r="G2107" s="3" t="s">
        <v>5136</v>
      </c>
      <c r="H2107" s="2" t="s">
        <v>36</v>
      </c>
      <c r="I2107" s="2" t="s">
        <v>5137</v>
      </c>
      <c r="J2107" s="3" t="str">
        <f>HYPERLINK("https://www.boe.es/gazeta/dias/1818/02/07/pdfs/GMD-1818-17.pdf#page=4","Abrir facsímil")</f>
        <v>Abrir facsímil</v>
      </c>
      <c r="K2107" s="3" t="s">
        <v>38</v>
      </c>
    </row>
    <row r="2108" spans="1:11" ht="42" customHeight="1">
      <c r="A2108" s="2" t="s">
        <v>5135</v>
      </c>
      <c r="B2108" s="2" t="s">
        <v>5135</v>
      </c>
      <c r="C2108" s="2" t="s">
        <v>26</v>
      </c>
      <c r="D2108" s="2" t="s">
        <v>27</v>
      </c>
      <c r="E2108" s="5">
        <v>-29911</v>
      </c>
      <c r="F2108" s="3" t="s">
        <v>509</v>
      </c>
      <c r="G2108" s="3" t="s">
        <v>106</v>
      </c>
      <c r="H2108" s="2" t="s">
        <v>36</v>
      </c>
      <c r="I2108" s="2" t="s">
        <v>5138</v>
      </c>
      <c r="J2108" s="3" t="str">
        <f>HYPERLINK("https://www.boe.es/gazeta/dias/1818/02/07/pdfs/GMD-1818-17.pdf#page=5","Abrir facsímil")</f>
        <v>Abrir facsímil</v>
      </c>
      <c r="K2108" s="3" t="s">
        <v>38</v>
      </c>
    </row>
    <row r="2109" spans="1:11" ht="42" customHeight="1">
      <c r="A2109" s="2" t="s">
        <v>5139</v>
      </c>
      <c r="B2109" s="2" t="s">
        <v>5140</v>
      </c>
      <c r="C2109" s="2" t="s">
        <v>17</v>
      </c>
      <c r="D2109" s="2" t="s">
        <v>18</v>
      </c>
      <c r="E2109" s="5">
        <v>-29698</v>
      </c>
      <c r="F2109" s="3" t="s">
        <v>148</v>
      </c>
      <c r="G2109" s="3" t="s">
        <v>59</v>
      </c>
      <c r="H2109" s="2" t="s">
        <v>36</v>
      </c>
      <c r="I2109" s="2" t="s">
        <v>5141</v>
      </c>
      <c r="J2109" s="3" t="str">
        <f>HYPERLINK("https://www.boe.es/gazeta/dias/1818/09/08/pdfs/GMD-1818-108.pdf#page=6","Abrir facsímil")</f>
        <v>Abrir facsímil</v>
      </c>
      <c r="K2109" s="3" t="s">
        <v>38</v>
      </c>
    </row>
    <row r="2110" spans="1:11" ht="42" customHeight="1">
      <c r="A2110" s="2" t="s">
        <v>5142</v>
      </c>
      <c r="B2110" s="2" t="s">
        <v>5143</v>
      </c>
      <c r="C2110" s="2" t="s">
        <v>26</v>
      </c>
      <c r="D2110" s="2" t="s">
        <v>27</v>
      </c>
      <c r="E2110" s="5">
        <v>-29911</v>
      </c>
      <c r="F2110" s="3" t="s">
        <v>509</v>
      </c>
      <c r="G2110" s="3" t="s">
        <v>5136</v>
      </c>
      <c r="H2110" s="2" t="s">
        <v>36</v>
      </c>
      <c r="I2110" s="2" t="s">
        <v>5144</v>
      </c>
      <c r="J2110" s="3" t="str">
        <f>HYPERLINK("https://www.boe.es/gazeta/dias/1818/02/07/pdfs/GMD-1818-17.pdf#page=4","Abrir facsímil")</f>
        <v>Abrir facsímil</v>
      </c>
      <c r="K2110" s="3" t="s">
        <v>38</v>
      </c>
    </row>
    <row r="2111" spans="1:11" ht="42" customHeight="1">
      <c r="A2111" s="2" t="s">
        <v>5142</v>
      </c>
      <c r="B2111" s="2" t="s">
        <v>5143</v>
      </c>
      <c r="C2111" s="2" t="s">
        <v>26</v>
      </c>
      <c r="D2111" s="2" t="s">
        <v>27</v>
      </c>
      <c r="E2111" s="5">
        <v>-29911</v>
      </c>
      <c r="F2111" s="3" t="s">
        <v>509</v>
      </c>
      <c r="G2111" s="3" t="s">
        <v>59</v>
      </c>
      <c r="H2111" s="2" t="s">
        <v>36</v>
      </c>
      <c r="I2111" s="2" t="s">
        <v>5145</v>
      </c>
      <c r="J2111" s="3" t="str">
        <f>HYPERLINK("https://www.boe.es/gazeta/dias/1818/02/07/pdfs/GMD-1818-17.pdf#page=6","Abrir facsímil")</f>
        <v>Abrir facsímil</v>
      </c>
      <c r="K2111" s="3" t="s">
        <v>38</v>
      </c>
    </row>
    <row r="2112" spans="1:11" ht="42" customHeight="1">
      <c r="A2112" s="2" t="s">
        <v>5146</v>
      </c>
      <c r="B2112" s="2" t="s">
        <v>5147</v>
      </c>
      <c r="C2112" s="2" t="s">
        <v>17</v>
      </c>
      <c r="D2112" s="2" t="s">
        <v>18</v>
      </c>
      <c r="E2112" s="5">
        <v>-29698</v>
      </c>
      <c r="F2112" s="3" t="s">
        <v>148</v>
      </c>
      <c r="G2112" s="3" t="s">
        <v>29</v>
      </c>
      <c r="H2112" s="2" t="s">
        <v>36</v>
      </c>
      <c r="I2112" s="2" t="s">
        <v>5148</v>
      </c>
      <c r="J2112" s="3" t="str">
        <f>HYPERLINK("https://www.boe.es/gazeta/dias/1818/09/08/pdfs/GMD-1818-108.pdf#page=4","Abrir facsímil")</f>
        <v>Abrir facsímil</v>
      </c>
      <c r="K2112" s="3" t="s">
        <v>38</v>
      </c>
    </row>
    <row r="2113" spans="1:11" ht="42" customHeight="1">
      <c r="A2113" s="2" t="s">
        <v>5149</v>
      </c>
      <c r="B2113" s="2" t="s">
        <v>5150</v>
      </c>
      <c r="C2113" s="2" t="s">
        <v>57</v>
      </c>
      <c r="D2113" s="2" t="s">
        <v>18</v>
      </c>
      <c r="E2113" s="5">
        <v>-29740</v>
      </c>
      <c r="F2113" s="3" t="s">
        <v>152</v>
      </c>
      <c r="G2113" s="3" t="s">
        <v>45</v>
      </c>
      <c r="H2113" s="2" t="s">
        <v>36</v>
      </c>
      <c r="I2113" s="2" t="s">
        <v>5151</v>
      </c>
      <c r="J2113" s="3" t="str">
        <f>HYPERLINK("https://www.boe.es/gazeta/dias/1818/07/28/pdfs/GMD-1818-90.pdf#page=8","Abrir facsímil")</f>
        <v>Abrir facsímil</v>
      </c>
      <c r="K2113" s="3" t="s">
        <v>38</v>
      </c>
    </row>
    <row r="2114" spans="1:11" ht="42" customHeight="1">
      <c r="A2114" s="2" t="s">
        <v>5152</v>
      </c>
      <c r="B2114" s="2" t="s">
        <v>5153</v>
      </c>
      <c r="C2114" s="2" t="s">
        <v>68</v>
      </c>
      <c r="D2114" s="2" t="s">
        <v>69</v>
      </c>
      <c r="E2114" s="5">
        <v>-29663</v>
      </c>
      <c r="F2114" s="3" t="s">
        <v>1011</v>
      </c>
      <c r="G2114" s="3" t="s">
        <v>106</v>
      </c>
      <c r="H2114" s="2" t="s">
        <v>36</v>
      </c>
      <c r="I2114" s="2" t="s">
        <v>5154</v>
      </c>
      <c r="J2114" s="3" t="str">
        <f>HYPERLINK("https://www.boe.es/gazeta/dias/1818/10/13/pdfs/GMD-1818-123.pdf#page=5","Abrir facsímil")</f>
        <v>Abrir facsímil</v>
      </c>
      <c r="K2114" s="3" t="s">
        <v>38</v>
      </c>
    </row>
    <row r="2115" spans="1:11" ht="42" customHeight="1">
      <c r="A2115" s="2" t="s">
        <v>5155</v>
      </c>
      <c r="B2115" s="2" t="s">
        <v>5156</v>
      </c>
      <c r="C2115" s="2" t="s">
        <v>57</v>
      </c>
      <c r="D2115" s="2" t="s">
        <v>18</v>
      </c>
      <c r="E2115" s="5">
        <v>-29724</v>
      </c>
      <c r="F2115" s="3" t="s">
        <v>370</v>
      </c>
      <c r="G2115" s="3" t="s">
        <v>106</v>
      </c>
      <c r="H2115" s="2" t="s">
        <v>36</v>
      </c>
      <c r="I2115" s="2" t="s">
        <v>5157</v>
      </c>
      <c r="J2115" s="3" t="str">
        <f>HYPERLINK("https://www.boe.es/gazeta/dias/1818/08/13/pdfs/GMD-1818-97.pdf#page=5","Abrir facsímil")</f>
        <v>Abrir facsímil</v>
      </c>
      <c r="K2115" s="3" t="s">
        <v>38</v>
      </c>
    </row>
    <row r="2116" spans="1:11" ht="42" customHeight="1">
      <c r="A2116" s="2" t="s">
        <v>5158</v>
      </c>
      <c r="B2116" s="2" t="s">
        <v>5159</v>
      </c>
      <c r="C2116" s="2" t="s">
        <v>63</v>
      </c>
      <c r="D2116" s="2" t="s">
        <v>18</v>
      </c>
      <c r="E2116" s="5">
        <v>-29698</v>
      </c>
      <c r="F2116" s="3" t="s">
        <v>148</v>
      </c>
      <c r="G2116" s="3" t="s">
        <v>20</v>
      </c>
      <c r="H2116" s="2" t="s">
        <v>36</v>
      </c>
      <c r="I2116" s="2" t="s">
        <v>5160</v>
      </c>
      <c r="J2116" s="3" t="str">
        <f>HYPERLINK("https://www.boe.es/gazeta/dias/1818/09/08/pdfs/GMD-1818-108.pdf#page=7","Abrir facsímil")</f>
        <v>Abrir facsímil</v>
      </c>
      <c r="K2116" s="3" t="s">
        <v>38</v>
      </c>
    </row>
    <row r="2117" spans="1:11" ht="42" customHeight="1">
      <c r="A2117" s="2" t="s">
        <v>5161</v>
      </c>
      <c r="B2117" s="2" t="s">
        <v>5162</v>
      </c>
      <c r="C2117" s="2" t="s">
        <v>97</v>
      </c>
      <c r="D2117" s="2" t="s">
        <v>18</v>
      </c>
      <c r="E2117" s="5">
        <v>-29708</v>
      </c>
      <c r="F2117" s="3" t="s">
        <v>413</v>
      </c>
      <c r="G2117" s="3" t="s">
        <v>45</v>
      </c>
      <c r="H2117" s="2" t="s">
        <v>36</v>
      </c>
      <c r="I2117" s="2" t="s">
        <v>5163</v>
      </c>
      <c r="J2117" s="3" t="str">
        <f>HYPERLINK("https://www.boe.es/gazeta/dias/1818/08/29/pdfs/GMD-1818-104.pdf#page=8","Abrir facsímil")</f>
        <v>Abrir facsímil</v>
      </c>
      <c r="K2117" s="3" t="s">
        <v>38</v>
      </c>
    </row>
    <row r="2118" spans="1:11" ht="42" customHeight="1">
      <c r="A2118" s="2" t="s">
        <v>5164</v>
      </c>
      <c r="B2118" s="2" t="s">
        <v>5165</v>
      </c>
      <c r="C2118" s="2" t="s">
        <v>97</v>
      </c>
      <c r="D2118" s="2" t="s">
        <v>18</v>
      </c>
      <c r="E2118" s="5">
        <v>-29619</v>
      </c>
      <c r="F2118" s="3" t="s">
        <v>64</v>
      </c>
      <c r="G2118" s="3" t="s">
        <v>20</v>
      </c>
      <c r="H2118" s="2" t="s">
        <v>36</v>
      </c>
      <c r="I2118" s="2" t="s">
        <v>5166</v>
      </c>
      <c r="J2118" s="3" t="str">
        <f>HYPERLINK("https://www.boe.es/gazeta/dias/1818/11/26/pdfs/GMD-1818-143.pdf#page=7","Abrir facsímil")</f>
        <v>Abrir facsímil</v>
      </c>
      <c r="K2118" s="3" t="s">
        <v>38</v>
      </c>
    </row>
    <row r="2119" spans="1:11" ht="42" customHeight="1">
      <c r="A2119" s="2" t="s">
        <v>5167</v>
      </c>
      <c r="B2119" s="2" t="s">
        <v>5168</v>
      </c>
      <c r="C2119" s="2" t="s">
        <v>26</v>
      </c>
      <c r="D2119" s="2" t="s">
        <v>27</v>
      </c>
      <c r="E2119" s="5">
        <v>-29740</v>
      </c>
      <c r="F2119" s="3" t="s">
        <v>152</v>
      </c>
      <c r="G2119" s="3" t="s">
        <v>153</v>
      </c>
      <c r="H2119" s="2" t="s">
        <v>36</v>
      </c>
      <c r="I2119" s="2" t="s">
        <v>5169</v>
      </c>
      <c r="J2119" s="3" t="str">
        <f>HYPERLINK("https://www.boe.es/gazeta/dias/1818/07/28/pdfs/GMD-1818-90.pdf#page=6","Abrir facsímil")</f>
        <v>Abrir facsímil</v>
      </c>
      <c r="K2119" s="3" t="s">
        <v>38</v>
      </c>
    </row>
    <row r="2120" spans="1:11" ht="42" customHeight="1">
      <c r="A2120" s="2" t="s">
        <v>5170</v>
      </c>
      <c r="B2120" s="2" t="s">
        <v>5171</v>
      </c>
      <c r="C2120" s="2" t="s">
        <v>68</v>
      </c>
      <c r="D2120" s="2" t="s">
        <v>69</v>
      </c>
      <c r="E2120" s="5">
        <v>-29635</v>
      </c>
      <c r="F2120" s="3" t="s">
        <v>560</v>
      </c>
      <c r="G2120" s="3" t="s">
        <v>45</v>
      </c>
      <c r="H2120" s="2" t="s">
        <v>21</v>
      </c>
      <c r="I2120" s="2" t="s">
        <v>5172</v>
      </c>
      <c r="J2120" s="3" t="str">
        <f>HYPERLINK("https://www.boe.es/gazeta/dias/1818/11/10/pdfs/GMD-1818-136.pdf#page=8","Abrir facsímil")</f>
        <v>Abrir facsímil</v>
      </c>
      <c r="K2120" s="3" t="s">
        <v>23</v>
      </c>
    </row>
    <row r="2121" spans="1:11" ht="42" customHeight="1">
      <c r="A2121" s="2" t="s">
        <v>5173</v>
      </c>
      <c r="B2121" s="2" t="s">
        <v>5174</v>
      </c>
      <c r="C2121" s="2" t="s">
        <v>97</v>
      </c>
      <c r="D2121" s="2" t="s">
        <v>18</v>
      </c>
      <c r="E2121" s="5">
        <v>-29820</v>
      </c>
      <c r="F2121" s="3" t="s">
        <v>2971</v>
      </c>
      <c r="G2121" s="3" t="s">
        <v>5175</v>
      </c>
      <c r="H2121" s="2" t="s">
        <v>36</v>
      </c>
      <c r="I2121" s="2" t="s">
        <v>5176</v>
      </c>
      <c r="J2121" s="3" t="str">
        <f>HYPERLINK("https://www.boe.es/gazeta/dias/1818/05/09/pdfs/GMD-1818-56.pdf#page=6","Abrir facsímil")</f>
        <v>Abrir facsímil</v>
      </c>
      <c r="K2121" s="3" t="s">
        <v>38</v>
      </c>
    </row>
    <row r="2122" spans="1:11" ht="42" customHeight="1">
      <c r="A2122" s="2" t="s">
        <v>5177</v>
      </c>
      <c r="B2122" s="2" t="s">
        <v>5178</v>
      </c>
      <c r="C2122" s="2" t="s">
        <v>26</v>
      </c>
      <c r="D2122" s="2" t="s">
        <v>27</v>
      </c>
      <c r="E2122" s="5">
        <v>-29743</v>
      </c>
      <c r="F2122" s="3" t="s">
        <v>734</v>
      </c>
      <c r="G2122" s="3" t="s">
        <v>29</v>
      </c>
      <c r="H2122" s="2" t="s">
        <v>36</v>
      </c>
      <c r="I2122" s="2" t="s">
        <v>5179</v>
      </c>
      <c r="J2122" s="3" t="str">
        <f>HYPERLINK("https://www.boe.es/gazeta/dias/1818/07/25/pdfs/GMD-1818-89.pdf#page=4","Abrir facsímil")</f>
        <v>Abrir facsímil</v>
      </c>
      <c r="K2122" s="3" t="s">
        <v>38</v>
      </c>
    </row>
    <row r="2123" spans="1:11" ht="42" customHeight="1">
      <c r="A2123" s="2" t="s">
        <v>5180</v>
      </c>
      <c r="B2123" s="2" t="s">
        <v>5180</v>
      </c>
      <c r="C2123" s="2" t="s">
        <v>26</v>
      </c>
      <c r="D2123" s="2" t="s">
        <v>27</v>
      </c>
      <c r="E2123" s="5">
        <v>-29897</v>
      </c>
      <c r="F2123" s="3" t="s">
        <v>318</v>
      </c>
      <c r="G2123" s="3" t="s">
        <v>120</v>
      </c>
      <c r="H2123" s="2" t="s">
        <v>36</v>
      </c>
      <c r="I2123" s="2" t="s">
        <v>5181</v>
      </c>
      <c r="J2123" s="3" t="str">
        <f>HYPERLINK("https://www.boe.es/gazeta/dias/1818/02/21/pdfs/GMD-1818-23.pdf#page=2","Abrir facsímil")</f>
        <v>Abrir facsímil</v>
      </c>
      <c r="K2123" s="3" t="s">
        <v>38</v>
      </c>
    </row>
    <row r="2124" spans="1:11" ht="42" customHeight="1">
      <c r="A2124" s="2" t="s">
        <v>5180</v>
      </c>
      <c r="B2124" s="2" t="s">
        <v>5180</v>
      </c>
      <c r="C2124" s="2" t="s">
        <v>26</v>
      </c>
      <c r="D2124" s="2" t="s">
        <v>27</v>
      </c>
      <c r="E2124" s="5">
        <v>-29743</v>
      </c>
      <c r="F2124" s="3" t="s">
        <v>734</v>
      </c>
      <c r="G2124" s="3" t="s">
        <v>85</v>
      </c>
      <c r="H2124" s="2" t="s">
        <v>36</v>
      </c>
      <c r="I2124" s="2" t="s">
        <v>5182</v>
      </c>
      <c r="J2124" s="3" t="str">
        <f>HYPERLINK("https://www.boe.es/gazeta/dias/1818/07/25/pdfs/GMD-1818-89.pdf#page=3","Abrir facsímil")</f>
        <v>Abrir facsímil</v>
      </c>
      <c r="K2124" s="3" t="s">
        <v>38</v>
      </c>
    </row>
    <row r="2125" spans="1:11" ht="42" customHeight="1">
      <c r="A2125" s="2" t="s">
        <v>5183</v>
      </c>
      <c r="B2125" s="2" t="s">
        <v>5184</v>
      </c>
      <c r="C2125" s="2" t="s">
        <v>17</v>
      </c>
      <c r="D2125" s="2" t="s">
        <v>18</v>
      </c>
      <c r="E2125" s="5">
        <v>-29694</v>
      </c>
      <c r="F2125" s="3" t="s">
        <v>528</v>
      </c>
      <c r="G2125" s="3" t="s">
        <v>59</v>
      </c>
      <c r="H2125" s="2" t="s">
        <v>36</v>
      </c>
      <c r="I2125" s="2" t="s">
        <v>5185</v>
      </c>
      <c r="J2125" s="3" t="str">
        <f>HYPERLINK("https://www.boe.es/gazeta/dias/1818/09/12/pdfs/GMD-1818-110.pdf#page=6","Abrir facsímil")</f>
        <v>Abrir facsímil</v>
      </c>
      <c r="K2125" s="3" t="s">
        <v>38</v>
      </c>
    </row>
    <row r="2126" spans="1:11" ht="42" customHeight="1">
      <c r="A2126" s="2" t="s">
        <v>5186</v>
      </c>
      <c r="B2126" s="2" t="s">
        <v>5186</v>
      </c>
      <c r="C2126" s="2" t="s">
        <v>17</v>
      </c>
      <c r="D2126" s="2" t="s">
        <v>18</v>
      </c>
      <c r="E2126" s="5">
        <v>-29745</v>
      </c>
      <c r="F2126" s="3" t="s">
        <v>409</v>
      </c>
      <c r="G2126" s="3" t="s">
        <v>20</v>
      </c>
      <c r="H2126" s="2" t="s">
        <v>36</v>
      </c>
      <c r="I2126" s="2" t="s">
        <v>5187</v>
      </c>
      <c r="J2126" s="3" t="str">
        <f>HYPERLINK("https://www.boe.es/gazeta/dias/1818/07/23/pdfs/GMD-1818-88.pdf#page=7","Abrir facsímil")</f>
        <v>Abrir facsímil</v>
      </c>
      <c r="K2126" s="3" t="s">
        <v>38</v>
      </c>
    </row>
    <row r="2127" spans="1:11" ht="42" customHeight="1">
      <c r="A2127" s="2" t="s">
        <v>5188</v>
      </c>
      <c r="B2127" s="2" t="s">
        <v>5188</v>
      </c>
      <c r="C2127" s="2" t="s">
        <v>17</v>
      </c>
      <c r="D2127" s="2" t="s">
        <v>18</v>
      </c>
      <c r="E2127" s="5">
        <v>-29621</v>
      </c>
      <c r="F2127" s="3" t="s">
        <v>1561</v>
      </c>
      <c r="G2127" s="3" t="s">
        <v>59</v>
      </c>
      <c r="H2127" s="2" t="s">
        <v>36</v>
      </c>
      <c r="I2127" s="2" t="s">
        <v>5189</v>
      </c>
      <c r="J2127" s="3" t="str">
        <f>HYPERLINK("https://www.boe.es/gazeta/dias/1818/11/24/pdfs/GMD-1818-142.pdf#page=6","Abrir facsímil")</f>
        <v>Abrir facsímil</v>
      </c>
      <c r="K2127" s="3" t="s">
        <v>38</v>
      </c>
    </row>
    <row r="2128" spans="1:11" ht="42" customHeight="1">
      <c r="A2128" s="2" t="s">
        <v>5190</v>
      </c>
      <c r="B2128" s="2" t="s">
        <v>5191</v>
      </c>
      <c r="C2128" s="2" t="s">
        <v>26</v>
      </c>
      <c r="D2128" s="2" t="s">
        <v>27</v>
      </c>
      <c r="E2128" s="5">
        <v>-29929</v>
      </c>
      <c r="F2128" s="3" t="s">
        <v>204</v>
      </c>
      <c r="G2128" s="3" t="s">
        <v>29</v>
      </c>
      <c r="H2128" s="2" t="s">
        <v>36</v>
      </c>
      <c r="I2128" s="2" t="s">
        <v>5192</v>
      </c>
      <c r="J2128" s="3" t="str">
        <f>HYPERLINK("https://www.boe.es/gazeta/dias/1818/01/20/pdfs/GMD-1818-9.pdf#page=4","Abrir facsímil")</f>
        <v>Abrir facsímil</v>
      </c>
      <c r="K2128" s="3" t="s">
        <v>38</v>
      </c>
    </row>
    <row r="2129" spans="1:11" ht="42" customHeight="1">
      <c r="A2129" s="2" t="s">
        <v>5193</v>
      </c>
      <c r="B2129" s="2" t="s">
        <v>5194</v>
      </c>
      <c r="C2129" s="2" t="s">
        <v>26</v>
      </c>
      <c r="D2129" s="2" t="s">
        <v>27</v>
      </c>
      <c r="E2129" s="5">
        <v>-29901</v>
      </c>
      <c r="F2129" s="3" t="s">
        <v>417</v>
      </c>
      <c r="G2129" s="3" t="s">
        <v>59</v>
      </c>
      <c r="H2129" s="2" t="s">
        <v>36</v>
      </c>
      <c r="I2129" s="2" t="s">
        <v>5195</v>
      </c>
      <c r="J2129" s="3" t="str">
        <f>HYPERLINK("https://www.boe.es/gazeta/dias/1818/02/17/pdfs/GMD-1818-21.pdf#page=6","Abrir facsímil")</f>
        <v>Abrir facsímil</v>
      </c>
      <c r="K2129" s="3" t="s">
        <v>38</v>
      </c>
    </row>
    <row r="2130" spans="1:11" ht="42" customHeight="1">
      <c r="A2130" s="2" t="s">
        <v>5196</v>
      </c>
      <c r="B2130" s="2" t="s">
        <v>5197</v>
      </c>
      <c r="C2130" s="2" t="s">
        <v>17</v>
      </c>
      <c r="D2130" s="2" t="s">
        <v>18</v>
      </c>
      <c r="E2130" s="5">
        <v>-29906</v>
      </c>
      <c r="F2130" s="3" t="s">
        <v>28</v>
      </c>
      <c r="G2130" s="3" t="s">
        <v>20</v>
      </c>
      <c r="H2130" s="2" t="s">
        <v>36</v>
      </c>
      <c r="I2130" s="2" t="s">
        <v>5198</v>
      </c>
      <c r="J2130" s="3" t="str">
        <f>HYPERLINK("https://www.boe.es/gazeta/dias/1818/02/12/pdfs/GMD-1818-19.pdf#page=7","Abrir facsímil")</f>
        <v>Abrir facsímil</v>
      </c>
      <c r="K2130" s="3" t="s">
        <v>38</v>
      </c>
    </row>
    <row r="2131" spans="1:11" ht="42" customHeight="1">
      <c r="A2131" s="2" t="s">
        <v>5199</v>
      </c>
      <c r="B2131" s="2" t="s">
        <v>5200</v>
      </c>
      <c r="C2131" s="2" t="s">
        <v>26</v>
      </c>
      <c r="D2131" s="2" t="s">
        <v>27</v>
      </c>
      <c r="E2131" s="5">
        <v>-29654</v>
      </c>
      <c r="F2131" s="3" t="s">
        <v>219</v>
      </c>
      <c r="G2131" s="3" t="s">
        <v>29</v>
      </c>
      <c r="H2131" s="2" t="s">
        <v>36</v>
      </c>
      <c r="I2131" s="2" t="s">
        <v>5201</v>
      </c>
      <c r="J2131" s="3" t="str">
        <f>HYPERLINK("https://www.boe.es/gazeta/dias/1818/10/22/pdfs/GMD-1818-128.pdf#page=4","Abrir facsímil")</f>
        <v>Abrir facsímil</v>
      </c>
      <c r="K2131" s="3" t="s">
        <v>38</v>
      </c>
    </row>
    <row r="2132" spans="1:11" ht="42" customHeight="1">
      <c r="A2132" s="2" t="s">
        <v>5202</v>
      </c>
      <c r="B2132" s="2" t="s">
        <v>5203</v>
      </c>
      <c r="C2132" s="2" t="s">
        <v>17</v>
      </c>
      <c r="D2132" s="2" t="s">
        <v>18</v>
      </c>
      <c r="E2132" s="5">
        <v>-29703</v>
      </c>
      <c r="F2132" s="3" t="s">
        <v>294</v>
      </c>
      <c r="G2132" s="3" t="s">
        <v>20</v>
      </c>
      <c r="H2132" s="2" t="s">
        <v>36</v>
      </c>
      <c r="I2132" s="2" t="s">
        <v>5204</v>
      </c>
      <c r="J2132" s="3" t="str">
        <f>HYPERLINK("https://www.boe.es/gazeta/dias/1818/09/03/pdfs/GMD-1818-106.pdf#page=7","Abrir facsímil")</f>
        <v>Abrir facsímil</v>
      </c>
      <c r="K2132" s="3" t="s">
        <v>38</v>
      </c>
    </row>
    <row r="2133" spans="1:11" ht="42" customHeight="1">
      <c r="A2133" s="2" t="s">
        <v>5205</v>
      </c>
      <c r="B2133" s="2" t="s">
        <v>5206</v>
      </c>
      <c r="C2133" s="2" t="s">
        <v>63</v>
      </c>
      <c r="D2133" s="2" t="s">
        <v>18</v>
      </c>
      <c r="E2133" s="5">
        <v>-29652</v>
      </c>
      <c r="F2133" s="3" t="s">
        <v>741</v>
      </c>
      <c r="G2133" s="3" t="s">
        <v>20</v>
      </c>
      <c r="H2133" s="2" t="s">
        <v>36</v>
      </c>
      <c r="I2133" s="2" t="s">
        <v>5207</v>
      </c>
      <c r="J2133" s="3" t="str">
        <f>HYPERLINK("https://www.boe.es/gazeta/dias/1818/10/24/pdfs/GMD-1818-129.pdf#page=7","Abrir facsímil")</f>
        <v>Abrir facsímil</v>
      </c>
      <c r="K2133" s="3" t="s">
        <v>38</v>
      </c>
    </row>
    <row r="2134" spans="1:11" ht="42" customHeight="1">
      <c r="A2134" s="2" t="s">
        <v>5208</v>
      </c>
      <c r="B2134" s="2" t="s">
        <v>5209</v>
      </c>
      <c r="C2134" s="2" t="s">
        <v>26</v>
      </c>
      <c r="D2134" s="2" t="s">
        <v>27</v>
      </c>
      <c r="E2134" s="5">
        <v>-29680</v>
      </c>
      <c r="F2134" s="3" t="s">
        <v>865</v>
      </c>
      <c r="G2134" s="3" t="s">
        <v>59</v>
      </c>
      <c r="H2134" s="2" t="s">
        <v>36</v>
      </c>
      <c r="I2134" s="2" t="s">
        <v>5210</v>
      </c>
      <c r="J2134" s="3" t="str">
        <f>HYPERLINK("https://www.boe.es/gazeta/dias/1818/09/26/pdfs/GMD-1818-116.pdf#page=6","Abrir facsímil")</f>
        <v>Abrir facsímil</v>
      </c>
      <c r="K2134" s="3" t="s">
        <v>38</v>
      </c>
    </row>
    <row r="2135" spans="1:11" ht="42" customHeight="1">
      <c r="A2135" s="2" t="s">
        <v>5211</v>
      </c>
      <c r="B2135" s="2" t="s">
        <v>5212</v>
      </c>
      <c r="C2135" s="2" t="s">
        <v>26</v>
      </c>
      <c r="D2135" s="2" t="s">
        <v>27</v>
      </c>
      <c r="E2135" s="5">
        <v>-29750</v>
      </c>
      <c r="F2135" s="3" t="s">
        <v>384</v>
      </c>
      <c r="G2135" s="3" t="s">
        <v>29</v>
      </c>
      <c r="H2135" s="2" t="s">
        <v>36</v>
      </c>
      <c r="I2135" s="2" t="s">
        <v>5213</v>
      </c>
      <c r="J2135" s="3" t="str">
        <f>HYPERLINK("https://www.boe.es/gazeta/dias/1818/07/18/pdfs/GMD-1818-86.pdf#page=4","Abrir facsímil")</f>
        <v>Abrir facsímil</v>
      </c>
      <c r="K2135" s="3" t="s">
        <v>38</v>
      </c>
    </row>
    <row r="2136" spans="1:11" ht="42" customHeight="1">
      <c r="A2136" s="2" t="s">
        <v>5214</v>
      </c>
      <c r="B2136" s="2" t="s">
        <v>5215</v>
      </c>
      <c r="C2136" s="2" t="s">
        <v>68</v>
      </c>
      <c r="D2136" s="2" t="s">
        <v>69</v>
      </c>
      <c r="E2136" s="5">
        <v>-29752</v>
      </c>
      <c r="F2136" s="3" t="s">
        <v>165</v>
      </c>
      <c r="G2136" s="3" t="s">
        <v>59</v>
      </c>
      <c r="H2136" s="2" t="s">
        <v>36</v>
      </c>
      <c r="I2136" s="2" t="s">
        <v>5216</v>
      </c>
      <c r="J2136" s="3" t="str">
        <f>HYPERLINK("https://www.boe.es/gazeta/dias/1818/07/16/pdfs/GMD-1818-85.pdf#page=6","Abrir facsímil")</f>
        <v>Abrir facsímil</v>
      </c>
      <c r="K2136" s="3" t="s">
        <v>38</v>
      </c>
    </row>
    <row r="2137" spans="1:11" ht="42" customHeight="1">
      <c r="A2137" s="2" t="s">
        <v>5217</v>
      </c>
      <c r="B2137" s="2" t="s">
        <v>5218</v>
      </c>
      <c r="C2137" s="2" t="s">
        <v>26</v>
      </c>
      <c r="D2137" s="2" t="s">
        <v>27</v>
      </c>
      <c r="E2137" s="5">
        <v>-29922</v>
      </c>
      <c r="F2137" s="3" t="s">
        <v>174</v>
      </c>
      <c r="G2137" s="3" t="s">
        <v>175</v>
      </c>
      <c r="H2137" s="2" t="s">
        <v>36</v>
      </c>
      <c r="I2137" s="2" t="s">
        <v>5219</v>
      </c>
      <c r="J2137" s="3" t="str">
        <f>HYPERLINK("https://www.boe.es/gazeta/dias/1818/01/27/pdfs/GMD-1818-12.pdf#page=5","Abrir facsímil")</f>
        <v>Abrir facsímil</v>
      </c>
      <c r="K2137" s="3" t="s">
        <v>38</v>
      </c>
    </row>
    <row r="2138" spans="1:11" ht="42" customHeight="1">
      <c r="A2138" s="2" t="s">
        <v>5220</v>
      </c>
      <c r="B2138" s="2" t="s">
        <v>5220</v>
      </c>
      <c r="C2138" s="2" t="s">
        <v>26</v>
      </c>
      <c r="D2138" s="2" t="s">
        <v>27</v>
      </c>
      <c r="E2138" s="5">
        <v>-29659</v>
      </c>
      <c r="F2138" s="3" t="s">
        <v>1690</v>
      </c>
      <c r="G2138" s="3" t="s">
        <v>85</v>
      </c>
      <c r="H2138" s="2" t="s">
        <v>36</v>
      </c>
      <c r="I2138" s="2" t="s">
        <v>5221</v>
      </c>
      <c r="J2138" s="3" t="str">
        <f>HYPERLINK("https://www.boe.es/gazeta/dias/1818/10/17/pdfs/GMD-1818-126.pdf#page=3","Abrir facsímil")</f>
        <v>Abrir facsímil</v>
      </c>
      <c r="K2138" s="3" t="s">
        <v>38</v>
      </c>
    </row>
    <row r="2139" spans="1:11" ht="42" customHeight="1">
      <c r="A2139" s="2" t="s">
        <v>5222</v>
      </c>
      <c r="B2139" s="2" t="s">
        <v>5222</v>
      </c>
      <c r="C2139" s="2" t="s">
        <v>26</v>
      </c>
      <c r="D2139" s="2" t="s">
        <v>27</v>
      </c>
      <c r="E2139" s="5">
        <v>-29920</v>
      </c>
      <c r="F2139" s="3" t="s">
        <v>201</v>
      </c>
      <c r="G2139" s="3" t="s">
        <v>111</v>
      </c>
      <c r="H2139" s="2" t="s">
        <v>36</v>
      </c>
      <c r="I2139" s="2" t="s">
        <v>5223</v>
      </c>
      <c r="J2139" s="3" t="str">
        <f>HYPERLINK("https://www.boe.es/gazeta/dias/1818/01/29/pdfs/GMD-1818-13.pdf#page=11","Abrir facsímil")</f>
        <v>Abrir facsímil</v>
      </c>
      <c r="K2139" s="3" t="s">
        <v>38</v>
      </c>
    </row>
    <row r="2140" spans="1:11" ht="42" customHeight="1">
      <c r="A2140" s="2" t="s">
        <v>5222</v>
      </c>
      <c r="B2140" s="2" t="s">
        <v>5222</v>
      </c>
      <c r="C2140" s="2" t="s">
        <v>26</v>
      </c>
      <c r="D2140" s="2" t="s">
        <v>27</v>
      </c>
      <c r="E2140" s="5">
        <v>-29869</v>
      </c>
      <c r="F2140" s="3" t="s">
        <v>140</v>
      </c>
      <c r="G2140" s="3" t="s">
        <v>85</v>
      </c>
      <c r="H2140" s="2" t="s">
        <v>36</v>
      </c>
      <c r="I2140" s="2" t="s">
        <v>5224</v>
      </c>
      <c r="J2140" s="3" t="str">
        <f>HYPERLINK("https://www.boe.es/gazeta/dias/1818/03/21/pdfs/GMD-1818-35.pdf#page=3","Abrir facsímil")</f>
        <v>Abrir facsímil</v>
      </c>
      <c r="K2140" s="3" t="s">
        <v>38</v>
      </c>
    </row>
    <row r="2141" spans="1:11" ht="42" customHeight="1">
      <c r="A2141" s="2" t="s">
        <v>5222</v>
      </c>
      <c r="B2141" s="2" t="s">
        <v>5222</v>
      </c>
      <c r="C2141" s="2" t="s">
        <v>17</v>
      </c>
      <c r="D2141" s="2" t="s">
        <v>18</v>
      </c>
      <c r="E2141" s="5">
        <v>-29724</v>
      </c>
      <c r="F2141" s="3" t="s">
        <v>370</v>
      </c>
      <c r="G2141" s="3" t="s">
        <v>29</v>
      </c>
      <c r="H2141" s="2" t="s">
        <v>36</v>
      </c>
      <c r="I2141" s="2" t="s">
        <v>5225</v>
      </c>
      <c r="J2141" s="3" t="str">
        <f>HYPERLINK("https://www.boe.es/gazeta/dias/1818/08/13/pdfs/GMD-1818-97.pdf#page=4","Abrir facsímil")</f>
        <v>Abrir facsímil</v>
      </c>
      <c r="K2141" s="3" t="s">
        <v>38</v>
      </c>
    </row>
    <row r="2142" spans="1:11" ht="42" customHeight="1">
      <c r="A2142" s="2" t="s">
        <v>5222</v>
      </c>
      <c r="B2142" s="2" t="s">
        <v>5222</v>
      </c>
      <c r="C2142" s="2" t="s">
        <v>26</v>
      </c>
      <c r="D2142" s="2" t="s">
        <v>27</v>
      </c>
      <c r="E2142" s="5">
        <v>-29684</v>
      </c>
      <c r="F2142" s="3" t="s">
        <v>311</v>
      </c>
      <c r="G2142" s="3" t="s">
        <v>106</v>
      </c>
      <c r="H2142" s="2" t="s">
        <v>36</v>
      </c>
      <c r="I2142" s="2" t="s">
        <v>5226</v>
      </c>
      <c r="J2142" s="3" t="str">
        <f>HYPERLINK("https://www.boe.es/gazeta/dias/1818/09/22/pdfs/GMD-1818-114.pdf#page=5","Abrir facsímil")</f>
        <v>Abrir facsímil</v>
      </c>
      <c r="K2142" s="3" t="s">
        <v>38</v>
      </c>
    </row>
    <row r="2143" spans="1:11" ht="42" customHeight="1">
      <c r="A2143" s="2" t="s">
        <v>5222</v>
      </c>
      <c r="B2143" s="2" t="s">
        <v>5222</v>
      </c>
      <c r="C2143" s="2" t="s">
        <v>26</v>
      </c>
      <c r="D2143" s="2" t="s">
        <v>27</v>
      </c>
      <c r="E2143" s="5">
        <v>-29677</v>
      </c>
      <c r="F2143" s="3" t="s">
        <v>157</v>
      </c>
      <c r="G2143" s="3" t="s">
        <v>29</v>
      </c>
      <c r="H2143" s="2" t="s">
        <v>36</v>
      </c>
      <c r="I2143" s="2" t="s">
        <v>5227</v>
      </c>
      <c r="J2143" s="3" t="str">
        <f>HYPERLINK("https://www.boe.es/gazeta/dias/1818/09/29/pdfs/GMD-1818-117.pdf#page=4","Abrir facsímil")</f>
        <v>Abrir facsímil</v>
      </c>
      <c r="K2143" s="3" t="s">
        <v>38</v>
      </c>
    </row>
    <row r="2144" spans="1:11" ht="42" customHeight="1">
      <c r="A2144" s="2" t="s">
        <v>5222</v>
      </c>
      <c r="B2144" s="2" t="s">
        <v>5222</v>
      </c>
      <c r="C2144" s="2" t="s">
        <v>26</v>
      </c>
      <c r="D2144" s="2" t="s">
        <v>27</v>
      </c>
      <c r="E2144" s="5">
        <v>-29673</v>
      </c>
      <c r="F2144" s="3" t="s">
        <v>1099</v>
      </c>
      <c r="G2144" s="3" t="s">
        <v>29</v>
      </c>
      <c r="H2144" s="2" t="s">
        <v>36</v>
      </c>
      <c r="I2144" s="2" t="s">
        <v>5228</v>
      </c>
      <c r="J2144" s="3" t="str">
        <f>HYPERLINK("https://www.boe.es/gazeta/dias/1818/10/03/pdfs/GMD-1818-119.pdf#page=4","Abrir facsímil")</f>
        <v>Abrir facsímil</v>
      </c>
      <c r="K2144" s="3" t="s">
        <v>38</v>
      </c>
    </row>
    <row r="2145" spans="1:11" ht="42" customHeight="1">
      <c r="A2145" s="2" t="s">
        <v>5222</v>
      </c>
      <c r="B2145" s="2" t="s">
        <v>5222</v>
      </c>
      <c r="C2145" s="2" t="s">
        <v>17</v>
      </c>
      <c r="D2145" s="2" t="s">
        <v>18</v>
      </c>
      <c r="E2145" s="5">
        <v>-29666</v>
      </c>
      <c r="F2145" s="3" t="s">
        <v>258</v>
      </c>
      <c r="G2145" s="3" t="s">
        <v>106</v>
      </c>
      <c r="H2145" s="2" t="s">
        <v>36</v>
      </c>
      <c r="I2145" s="2" t="s">
        <v>5229</v>
      </c>
      <c r="J2145" s="3" t="str">
        <f>HYPERLINK("https://www.boe.es/gazeta/dias/1818/10/10/pdfs/GMD-1818-122.pdf#page=5","Abrir facsímil")</f>
        <v>Abrir facsímil</v>
      </c>
      <c r="K2145" s="3" t="s">
        <v>38</v>
      </c>
    </row>
    <row r="2146" spans="1:11" ht="42" customHeight="1">
      <c r="A2146" s="2" t="s">
        <v>5222</v>
      </c>
      <c r="B2146" s="2" t="s">
        <v>5222</v>
      </c>
      <c r="C2146" s="2" t="s">
        <v>26</v>
      </c>
      <c r="D2146" s="2" t="s">
        <v>27</v>
      </c>
      <c r="E2146" s="5">
        <v>-29640</v>
      </c>
      <c r="F2146" s="3" t="s">
        <v>75</v>
      </c>
      <c r="G2146" s="3" t="s">
        <v>59</v>
      </c>
      <c r="H2146" s="2" t="s">
        <v>36</v>
      </c>
      <c r="I2146" s="2" t="s">
        <v>5230</v>
      </c>
      <c r="J2146" s="3" t="str">
        <f>HYPERLINK("https://www.boe.es/gazeta/dias/1818/11/05/pdfs/GMD-1818-134.pdf#page=6","Abrir facsímil")</f>
        <v>Abrir facsímil</v>
      </c>
      <c r="K2146" s="3" t="s">
        <v>38</v>
      </c>
    </row>
    <row r="2147" spans="1:11" ht="42" customHeight="1">
      <c r="A2147" s="2" t="s">
        <v>5222</v>
      </c>
      <c r="B2147" s="2" t="s">
        <v>5222</v>
      </c>
      <c r="C2147" s="2" t="s">
        <v>26</v>
      </c>
      <c r="D2147" s="2" t="s">
        <v>27</v>
      </c>
      <c r="E2147" s="5">
        <v>-29607</v>
      </c>
      <c r="F2147" s="3" t="s">
        <v>704</v>
      </c>
      <c r="G2147" s="3" t="s">
        <v>106</v>
      </c>
      <c r="H2147" s="2" t="s">
        <v>36</v>
      </c>
      <c r="I2147" s="2" t="s">
        <v>5231</v>
      </c>
      <c r="J2147" s="3" t="str">
        <f>HYPERLINK("https://www.boe.es/gazeta/dias/1818/12/08/pdfs/GMD-1818-148.pdf#page=5","Abrir facsímil")</f>
        <v>Abrir facsímil</v>
      </c>
      <c r="K2147" s="3" t="s">
        <v>38</v>
      </c>
    </row>
    <row r="2148" spans="1:11" ht="42" customHeight="1">
      <c r="A2148" s="2" t="s">
        <v>5222</v>
      </c>
      <c r="B2148" s="2" t="s">
        <v>5222</v>
      </c>
      <c r="C2148" s="2" t="s">
        <v>26</v>
      </c>
      <c r="D2148" s="2" t="s">
        <v>27</v>
      </c>
      <c r="E2148" s="5">
        <v>-29607</v>
      </c>
      <c r="F2148" s="3" t="s">
        <v>704</v>
      </c>
      <c r="G2148" s="3" t="s">
        <v>59</v>
      </c>
      <c r="H2148" s="2" t="s">
        <v>36</v>
      </c>
      <c r="I2148" s="2" t="s">
        <v>5232</v>
      </c>
      <c r="J2148" s="3" t="str">
        <f>HYPERLINK("https://www.boe.es/gazeta/dias/1818/12/08/pdfs/GMD-1818-148.pdf#page=6","Abrir facsímil")</f>
        <v>Abrir facsímil</v>
      </c>
      <c r="K2148" s="3" t="s">
        <v>38</v>
      </c>
    </row>
    <row r="2149" spans="1:11" ht="42" customHeight="1">
      <c r="A2149" s="2" t="s">
        <v>5222</v>
      </c>
      <c r="B2149" s="2" t="s">
        <v>5222</v>
      </c>
      <c r="C2149" s="2" t="s">
        <v>26</v>
      </c>
      <c r="D2149" s="2" t="s">
        <v>27</v>
      </c>
      <c r="E2149" s="5">
        <v>-29596</v>
      </c>
      <c r="F2149" s="3" t="s">
        <v>555</v>
      </c>
      <c r="G2149" s="3" t="s">
        <v>106</v>
      </c>
      <c r="H2149" s="2" t="s">
        <v>36</v>
      </c>
      <c r="I2149" s="2" t="s">
        <v>5233</v>
      </c>
      <c r="J2149" s="3" t="str">
        <f>HYPERLINK("https://www.boe.es/gazeta/dias/1818/12/19/pdfs/GMD-1818-153.pdf#page=5","Abrir facsímil")</f>
        <v>Abrir facsímil</v>
      </c>
      <c r="K2149" s="3" t="s">
        <v>38</v>
      </c>
    </row>
    <row r="2150" spans="1:11" ht="42" customHeight="1">
      <c r="A2150" s="2" t="s">
        <v>5222</v>
      </c>
      <c r="B2150" s="2" t="s">
        <v>5222</v>
      </c>
      <c r="C2150" s="2" t="s">
        <v>26</v>
      </c>
      <c r="D2150" s="2" t="s">
        <v>27</v>
      </c>
      <c r="E2150" s="5">
        <v>-29586</v>
      </c>
      <c r="F2150" s="3" t="s">
        <v>683</v>
      </c>
      <c r="G2150" s="3" t="s">
        <v>59</v>
      </c>
      <c r="H2150" s="2" t="s">
        <v>36</v>
      </c>
      <c r="I2150" s="2" t="s">
        <v>5234</v>
      </c>
      <c r="J2150" s="3" t="str">
        <f>HYPERLINK("https://www.boe.es/gazeta/dias/1818/12/29/pdfs/GMD-1818-158.pdf#page=6","Abrir facsímil")</f>
        <v>Abrir facsímil</v>
      </c>
      <c r="K2150" s="3" t="s">
        <v>38</v>
      </c>
    </row>
    <row r="2151" spans="1:11" ht="42" customHeight="1">
      <c r="A2151" s="2" t="s">
        <v>5235</v>
      </c>
      <c r="B2151" s="2" t="s">
        <v>5236</v>
      </c>
      <c r="C2151" s="2" t="s">
        <v>26</v>
      </c>
      <c r="D2151" s="2" t="s">
        <v>27</v>
      </c>
      <c r="E2151" s="5">
        <v>-29745</v>
      </c>
      <c r="F2151" s="3" t="s">
        <v>409</v>
      </c>
      <c r="G2151" s="3" t="s">
        <v>85</v>
      </c>
      <c r="H2151" s="2" t="s">
        <v>36</v>
      </c>
      <c r="I2151" s="2" t="s">
        <v>5237</v>
      </c>
      <c r="J2151" s="3" t="str">
        <f>HYPERLINK("https://www.boe.es/gazeta/dias/1818/07/23/pdfs/GMD-1818-88.pdf#page=3","Abrir facsímil")</f>
        <v>Abrir facsímil</v>
      </c>
      <c r="K2151" s="3" t="s">
        <v>38</v>
      </c>
    </row>
    <row r="2152" spans="1:11" ht="42" customHeight="1">
      <c r="A2152" s="2" t="s">
        <v>5238</v>
      </c>
      <c r="B2152" s="2" t="s">
        <v>5238</v>
      </c>
      <c r="C2152" s="2" t="s">
        <v>26</v>
      </c>
      <c r="D2152" s="2" t="s">
        <v>27</v>
      </c>
      <c r="E2152" s="5">
        <v>-29852</v>
      </c>
      <c r="F2152" s="3" t="s">
        <v>327</v>
      </c>
      <c r="G2152" s="3" t="s">
        <v>45</v>
      </c>
      <c r="H2152" s="2" t="s">
        <v>36</v>
      </c>
      <c r="I2152" s="2" t="s">
        <v>5239</v>
      </c>
      <c r="J2152" s="3" t="str">
        <f>HYPERLINK("https://www.boe.es/gazeta/dias/1818/04/07/pdfs/GMD-1818-42.pdf#page=8","Abrir facsímil")</f>
        <v>Abrir facsímil</v>
      </c>
      <c r="K2152" s="3" t="s">
        <v>38</v>
      </c>
    </row>
    <row r="2153" spans="1:11" ht="42" customHeight="1">
      <c r="A2153" s="2" t="s">
        <v>5240</v>
      </c>
      <c r="B2153" s="2" t="s">
        <v>5240</v>
      </c>
      <c r="C2153" s="2" t="s">
        <v>57</v>
      </c>
      <c r="D2153" s="2" t="s">
        <v>18</v>
      </c>
      <c r="E2153" s="5">
        <v>-29869</v>
      </c>
      <c r="F2153" s="3" t="s">
        <v>140</v>
      </c>
      <c r="G2153" s="3" t="s">
        <v>45</v>
      </c>
      <c r="H2153" s="2" t="s">
        <v>36</v>
      </c>
      <c r="I2153" s="2" t="s">
        <v>5241</v>
      </c>
      <c r="J2153" s="3" t="str">
        <f>HYPERLINK("https://www.boe.es/gazeta/dias/1818/03/21/pdfs/GMD-1818-35.pdf#page=8","Abrir facsímil")</f>
        <v>Abrir facsímil</v>
      </c>
      <c r="K2153" s="3" t="s">
        <v>38</v>
      </c>
    </row>
    <row r="2154" spans="1:11" ht="42" customHeight="1">
      <c r="A2154" s="2" t="s">
        <v>5240</v>
      </c>
      <c r="B2154" s="2" t="s">
        <v>5240</v>
      </c>
      <c r="C2154" s="2" t="s">
        <v>57</v>
      </c>
      <c r="D2154" s="2" t="s">
        <v>18</v>
      </c>
      <c r="E2154" s="5">
        <v>-29771</v>
      </c>
      <c r="F2154" s="3" t="s">
        <v>1260</v>
      </c>
      <c r="G2154" s="3" t="s">
        <v>5242</v>
      </c>
      <c r="H2154" s="2" t="s">
        <v>36</v>
      </c>
      <c r="I2154" s="2" t="s">
        <v>5243</v>
      </c>
      <c r="J2154" s="3" t="str">
        <f>HYPERLINK("https://www.boe.es/gazeta/dias/1818/06/27/pdfs/GMD-1818-77.pdf#page=6","Abrir facsímil")</f>
        <v>Abrir facsímil</v>
      </c>
      <c r="K2154" s="3" t="s">
        <v>38</v>
      </c>
    </row>
    <row r="2155" spans="1:11" ht="42" customHeight="1">
      <c r="A2155" s="2" t="s">
        <v>5240</v>
      </c>
      <c r="B2155" s="2" t="s">
        <v>5240</v>
      </c>
      <c r="C2155" s="2" t="s">
        <v>57</v>
      </c>
      <c r="D2155" s="2" t="s">
        <v>18</v>
      </c>
      <c r="E2155" s="5">
        <v>-29605</v>
      </c>
      <c r="F2155" s="3" t="s">
        <v>888</v>
      </c>
      <c r="G2155" s="3" t="s">
        <v>1327</v>
      </c>
      <c r="H2155" s="2" t="s">
        <v>36</v>
      </c>
      <c r="I2155" s="2" t="s">
        <v>5244</v>
      </c>
      <c r="J2155" s="3" t="str">
        <f>HYPERLINK("https://www.boe.es/gazeta/dias/1818/12/10/pdfs/GMD-1818-149.pdf#page=8","Abrir facsímil")</f>
        <v>Abrir facsímil</v>
      </c>
      <c r="K2155" s="3" t="s">
        <v>38</v>
      </c>
    </row>
    <row r="2156" spans="1:11" ht="42" customHeight="1">
      <c r="A2156" s="2" t="s">
        <v>5240</v>
      </c>
      <c r="B2156" s="2" t="s">
        <v>5240</v>
      </c>
      <c r="C2156" s="2" t="s">
        <v>57</v>
      </c>
      <c r="D2156" s="2" t="s">
        <v>18</v>
      </c>
      <c r="E2156" s="5">
        <v>-29591</v>
      </c>
      <c r="F2156" s="3" t="s">
        <v>1414</v>
      </c>
      <c r="G2156" s="3" t="s">
        <v>45</v>
      </c>
      <c r="H2156" s="2" t="s">
        <v>36</v>
      </c>
      <c r="I2156" s="2" t="s">
        <v>5245</v>
      </c>
      <c r="J2156" s="3" t="str">
        <f>HYPERLINK("https://www.boe.es/gazeta/dias/1818/12/24/pdfs/GMD-1818-155.pdf#page=8","Abrir facsímil")</f>
        <v>Abrir facsímil</v>
      </c>
      <c r="K2156" s="3" t="s">
        <v>38</v>
      </c>
    </row>
    <row r="2157" spans="1:11" ht="42" customHeight="1">
      <c r="A2157" s="2" t="s">
        <v>5246</v>
      </c>
      <c r="B2157" s="2" t="s">
        <v>5246</v>
      </c>
      <c r="C2157" s="2" t="s">
        <v>17</v>
      </c>
      <c r="D2157" s="2" t="s">
        <v>18</v>
      </c>
      <c r="E2157" s="5">
        <v>-29768</v>
      </c>
      <c r="F2157" s="3" t="s">
        <v>253</v>
      </c>
      <c r="G2157" s="3" t="s">
        <v>20</v>
      </c>
      <c r="H2157" s="2" t="s">
        <v>36</v>
      </c>
      <c r="I2157" s="2" t="s">
        <v>5247</v>
      </c>
      <c r="J2157" s="3" t="str">
        <f>HYPERLINK("https://www.boe.es/gazeta/dias/1818/06/30/pdfs/GMD-1818-78.pdf#page=7","Abrir facsímil")</f>
        <v>Abrir facsímil</v>
      </c>
      <c r="K2157" s="3" t="s">
        <v>38</v>
      </c>
    </row>
    <row r="2158" spans="1:11" ht="42" customHeight="1">
      <c r="A2158" s="2" t="s">
        <v>5248</v>
      </c>
      <c r="B2158" s="2" t="s">
        <v>5249</v>
      </c>
      <c r="C2158" s="2" t="s">
        <v>17</v>
      </c>
      <c r="D2158" s="2" t="s">
        <v>18</v>
      </c>
      <c r="E2158" s="5">
        <v>-29773</v>
      </c>
      <c r="F2158" s="3" t="s">
        <v>424</v>
      </c>
      <c r="G2158" s="3" t="s">
        <v>20</v>
      </c>
      <c r="H2158" s="2" t="s">
        <v>21</v>
      </c>
      <c r="I2158" s="2" t="s">
        <v>5250</v>
      </c>
      <c r="J2158" s="3" t="str">
        <f>HYPERLINK("https://www.boe.es/gazeta/dias/1818/06/25/pdfs/GMD-1818-76.pdf#page=7","Abrir facsímil")</f>
        <v>Abrir facsímil</v>
      </c>
      <c r="K2158" s="3" t="s">
        <v>23</v>
      </c>
    </row>
    <row r="2159" spans="1:11" ht="42" customHeight="1">
      <c r="A2159" s="2" t="s">
        <v>5251</v>
      </c>
      <c r="B2159" s="2" t="s">
        <v>5251</v>
      </c>
      <c r="C2159" s="2" t="s">
        <v>17</v>
      </c>
      <c r="D2159" s="2" t="s">
        <v>18</v>
      </c>
      <c r="E2159" s="5">
        <v>-29715</v>
      </c>
      <c r="F2159" s="3" t="s">
        <v>208</v>
      </c>
      <c r="G2159" s="3" t="s">
        <v>85</v>
      </c>
      <c r="H2159" s="2" t="s">
        <v>36</v>
      </c>
      <c r="I2159" s="2" t="s">
        <v>5252</v>
      </c>
      <c r="J2159" s="3" t="str">
        <f>HYPERLINK("https://www.boe.es/gazeta/dias/1818/08/22/pdfs/GMD-1818-101.pdf#page=3","Abrir facsímil")</f>
        <v>Abrir facsímil</v>
      </c>
      <c r="K2159" s="3" t="s">
        <v>38</v>
      </c>
    </row>
    <row r="2160" spans="1:11" ht="42" customHeight="1">
      <c r="A2160" s="2" t="s">
        <v>5253</v>
      </c>
      <c r="B2160" s="2" t="s">
        <v>5254</v>
      </c>
      <c r="C2160" s="2" t="s">
        <v>17</v>
      </c>
      <c r="D2160" s="2" t="s">
        <v>18</v>
      </c>
      <c r="E2160" s="5">
        <v>-29747</v>
      </c>
      <c r="F2160" s="3" t="s">
        <v>536</v>
      </c>
      <c r="G2160" s="3" t="s">
        <v>29</v>
      </c>
      <c r="H2160" s="2" t="s">
        <v>36</v>
      </c>
      <c r="I2160" s="2" t="s">
        <v>5255</v>
      </c>
      <c r="J2160" s="3" t="str">
        <f>HYPERLINK("https://www.boe.es/gazeta/dias/1818/07/21/pdfs/GMD-1818-87.pdf#page=4","Abrir facsímil")</f>
        <v>Abrir facsímil</v>
      </c>
      <c r="K2160" s="3" t="s">
        <v>38</v>
      </c>
    </row>
    <row r="2161" spans="1:11" ht="42" customHeight="1">
      <c r="A2161" s="2" t="s">
        <v>5256</v>
      </c>
      <c r="B2161" s="2" t="s">
        <v>5257</v>
      </c>
      <c r="C2161" s="2" t="s">
        <v>63</v>
      </c>
      <c r="D2161" s="2" t="s">
        <v>18</v>
      </c>
      <c r="E2161" s="5">
        <v>-29610</v>
      </c>
      <c r="F2161" s="3" t="s">
        <v>1441</v>
      </c>
      <c r="G2161" s="3" t="s">
        <v>45</v>
      </c>
      <c r="H2161" s="2" t="s">
        <v>36</v>
      </c>
      <c r="I2161" s="2" t="s">
        <v>5258</v>
      </c>
      <c r="J2161" s="3" t="str">
        <f>HYPERLINK("https://www.boe.es/gazeta/dias/1818/12/05/pdfs/GMD-1818-147.pdf#page=8","Abrir facsímil")</f>
        <v>Abrir facsímil</v>
      </c>
      <c r="K2161" s="3" t="s">
        <v>38</v>
      </c>
    </row>
    <row r="2162" spans="1:11" ht="42" customHeight="1">
      <c r="A2162" s="2" t="s">
        <v>5259</v>
      </c>
      <c r="B2162" s="2" t="s">
        <v>5260</v>
      </c>
      <c r="C2162" s="2" t="s">
        <v>97</v>
      </c>
      <c r="D2162" s="2" t="s">
        <v>18</v>
      </c>
      <c r="E2162" s="5">
        <v>-29703</v>
      </c>
      <c r="F2162" s="3" t="s">
        <v>294</v>
      </c>
      <c r="G2162" s="3" t="s">
        <v>29</v>
      </c>
      <c r="H2162" s="2" t="s">
        <v>36</v>
      </c>
      <c r="I2162" s="2" t="s">
        <v>5261</v>
      </c>
      <c r="J2162" s="3" t="str">
        <f>HYPERLINK("https://www.boe.es/gazeta/dias/1818/09/03/pdfs/GMD-1818-106.pdf#page=4","Abrir facsímil")</f>
        <v>Abrir facsímil</v>
      </c>
      <c r="K2162" s="3" t="s">
        <v>38</v>
      </c>
    </row>
    <row r="2163" spans="1:11" ht="42" customHeight="1">
      <c r="A2163" s="2" t="s">
        <v>5262</v>
      </c>
      <c r="B2163" s="2" t="s">
        <v>5262</v>
      </c>
      <c r="C2163" s="2" t="s">
        <v>26</v>
      </c>
      <c r="D2163" s="2" t="s">
        <v>27</v>
      </c>
      <c r="E2163" s="5">
        <v>-29915</v>
      </c>
      <c r="F2163" s="3" t="s">
        <v>429</v>
      </c>
      <c r="G2163" s="3" t="s">
        <v>815</v>
      </c>
      <c r="H2163" s="2" t="s">
        <v>36</v>
      </c>
      <c r="I2163" s="2" t="s">
        <v>5263</v>
      </c>
      <c r="J2163" s="3" t="str">
        <f>HYPERLINK("https://www.boe.es/gazeta/dias/1818/02/03/pdfs/GMD-1818-15.pdf#page=5","Abrir facsímil")</f>
        <v>Abrir facsímil</v>
      </c>
      <c r="K2163" s="3" t="s">
        <v>38</v>
      </c>
    </row>
    <row r="2164" spans="1:11" ht="42" customHeight="1">
      <c r="A2164" s="2" t="s">
        <v>5264</v>
      </c>
      <c r="B2164" s="2" t="s">
        <v>5264</v>
      </c>
      <c r="C2164" s="2" t="s">
        <v>26</v>
      </c>
      <c r="D2164" s="2" t="s">
        <v>27</v>
      </c>
      <c r="E2164" s="5">
        <v>-29883</v>
      </c>
      <c r="F2164" s="3" t="s">
        <v>823</v>
      </c>
      <c r="G2164" s="3" t="s">
        <v>824</v>
      </c>
      <c r="H2164" s="2" t="s">
        <v>36</v>
      </c>
      <c r="I2164" s="2" t="s">
        <v>5265</v>
      </c>
      <c r="J2164" s="3" t="str">
        <f>HYPERLINK("https://www.boe.es/gazeta/dias/1818/03/07/pdfs/GMD-1818-29.pdf#page=4","Abrir facsímil")</f>
        <v>Abrir facsímil</v>
      </c>
      <c r="K2164" s="3" t="s">
        <v>38</v>
      </c>
    </row>
    <row r="2165" spans="1:11" ht="42" customHeight="1">
      <c r="A2165" s="2" t="s">
        <v>5262</v>
      </c>
      <c r="B2165" s="2" t="s">
        <v>5262</v>
      </c>
      <c r="C2165" s="2" t="s">
        <v>17</v>
      </c>
      <c r="D2165" s="2" t="s">
        <v>18</v>
      </c>
      <c r="E2165" s="5">
        <v>-29876</v>
      </c>
      <c r="F2165" s="3" t="s">
        <v>338</v>
      </c>
      <c r="G2165" s="3" t="s">
        <v>106</v>
      </c>
      <c r="H2165" s="2" t="s">
        <v>36</v>
      </c>
      <c r="I2165" s="2" t="s">
        <v>5266</v>
      </c>
      <c r="J2165" s="3" t="str">
        <f>HYPERLINK("https://www.boe.es/gazeta/dias/1818/03/14/pdfs/GMD-1818-32.pdf#page=5","Abrir facsímil")</f>
        <v>Abrir facsímil</v>
      </c>
      <c r="K2165" s="3" t="s">
        <v>38</v>
      </c>
    </row>
    <row r="2166" spans="1:11" ht="42" customHeight="1">
      <c r="A2166" s="2" t="s">
        <v>5262</v>
      </c>
      <c r="B2166" s="2" t="s">
        <v>5262</v>
      </c>
      <c r="C2166" s="2" t="s">
        <v>26</v>
      </c>
      <c r="D2166" s="2" t="s">
        <v>27</v>
      </c>
      <c r="E2166" s="5">
        <v>-29841</v>
      </c>
      <c r="F2166" s="3" t="s">
        <v>19</v>
      </c>
      <c r="G2166" s="3" t="s">
        <v>106</v>
      </c>
      <c r="H2166" s="2" t="s">
        <v>36</v>
      </c>
      <c r="I2166" s="2" t="s">
        <v>5267</v>
      </c>
      <c r="J2166" s="3" t="str">
        <f>HYPERLINK("https://www.boe.es/gazeta/dias/1818/04/18/pdfs/GMD-1818-47.pdf#page=5","Abrir facsímil")</f>
        <v>Abrir facsímil</v>
      </c>
      <c r="K2166" s="3" t="s">
        <v>38</v>
      </c>
    </row>
    <row r="2167" spans="1:11" ht="42" customHeight="1">
      <c r="A2167" s="2" t="s">
        <v>5268</v>
      </c>
      <c r="B2167" s="2" t="s">
        <v>5268</v>
      </c>
      <c r="C2167" s="2" t="s">
        <v>26</v>
      </c>
      <c r="D2167" s="2" t="s">
        <v>27</v>
      </c>
      <c r="E2167" s="5">
        <v>-29838</v>
      </c>
      <c r="F2167" s="3" t="s">
        <v>593</v>
      </c>
      <c r="G2167" s="3" t="s">
        <v>106</v>
      </c>
      <c r="H2167" s="2" t="s">
        <v>36</v>
      </c>
      <c r="I2167" s="2" t="s">
        <v>5269</v>
      </c>
      <c r="J2167" s="3" t="str">
        <f>HYPERLINK("https://www.boe.es/gazeta/dias/1818/04/21/pdfs/GMD-1818-48.pdf#page=5","Abrir facsímil")</f>
        <v>Abrir facsímil</v>
      </c>
      <c r="K2167" s="3" t="s">
        <v>38</v>
      </c>
    </row>
    <row r="2168" spans="1:11" ht="42" customHeight="1">
      <c r="A2168" s="2" t="s">
        <v>5262</v>
      </c>
      <c r="B2168" s="2" t="s">
        <v>5262</v>
      </c>
      <c r="C2168" s="2" t="s">
        <v>68</v>
      </c>
      <c r="D2168" s="2" t="s">
        <v>69</v>
      </c>
      <c r="E2168" s="5">
        <v>-29752</v>
      </c>
      <c r="F2168" s="3" t="s">
        <v>165</v>
      </c>
      <c r="G2168" s="3" t="s">
        <v>59</v>
      </c>
      <c r="H2168" s="2" t="s">
        <v>36</v>
      </c>
      <c r="I2168" s="2" t="s">
        <v>5270</v>
      </c>
      <c r="J2168" s="3" t="str">
        <f>HYPERLINK("https://www.boe.es/gazeta/dias/1818/07/16/pdfs/GMD-1818-85.pdf#page=6","Abrir facsímil")</f>
        <v>Abrir facsímil</v>
      </c>
      <c r="K2168" s="3" t="s">
        <v>38</v>
      </c>
    </row>
    <row r="2169" spans="1:11" ht="42" customHeight="1">
      <c r="A2169" s="2" t="s">
        <v>5262</v>
      </c>
      <c r="B2169" s="2" t="s">
        <v>5262</v>
      </c>
      <c r="C2169" s="2" t="s">
        <v>26</v>
      </c>
      <c r="D2169" s="2" t="s">
        <v>27</v>
      </c>
      <c r="E2169" s="5">
        <v>-29726</v>
      </c>
      <c r="F2169" s="3" t="s">
        <v>70</v>
      </c>
      <c r="G2169" s="3" t="s">
        <v>106</v>
      </c>
      <c r="H2169" s="2" t="s">
        <v>36</v>
      </c>
      <c r="I2169" s="2" t="s">
        <v>5271</v>
      </c>
      <c r="J2169" s="3" t="str">
        <f>HYPERLINK("https://www.boe.es/gazeta/dias/1818/08/11/pdfs/GMD-1818-96.pdf#page=5","Abrir facsímil")</f>
        <v>Abrir facsímil</v>
      </c>
      <c r="K2169" s="3" t="s">
        <v>38</v>
      </c>
    </row>
    <row r="2170" spans="1:11" ht="42" customHeight="1">
      <c r="A2170" s="2" t="s">
        <v>5268</v>
      </c>
      <c r="B2170" s="2" t="s">
        <v>5268</v>
      </c>
      <c r="C2170" s="2" t="s">
        <v>26</v>
      </c>
      <c r="D2170" s="2" t="s">
        <v>27</v>
      </c>
      <c r="E2170" s="5">
        <v>-29705</v>
      </c>
      <c r="F2170" s="3" t="s">
        <v>680</v>
      </c>
      <c r="G2170" s="3" t="s">
        <v>29</v>
      </c>
      <c r="H2170" s="2" t="s">
        <v>36</v>
      </c>
      <c r="I2170" s="2" t="s">
        <v>5272</v>
      </c>
      <c r="J2170" s="3" t="str">
        <f>HYPERLINK("https://www.boe.es/gazeta/dias/1818/09/01/pdfs/GMD-1818-105.pdf#page=4","Abrir facsímil")</f>
        <v>Abrir facsímil</v>
      </c>
      <c r="K2170" s="3" t="s">
        <v>38</v>
      </c>
    </row>
    <row r="2171" spans="1:11" ht="42" customHeight="1">
      <c r="A2171" s="2" t="s">
        <v>5262</v>
      </c>
      <c r="B2171" s="2" t="s">
        <v>5262</v>
      </c>
      <c r="C2171" s="2" t="s">
        <v>26</v>
      </c>
      <c r="D2171" s="2" t="s">
        <v>27</v>
      </c>
      <c r="E2171" s="5">
        <v>-29677</v>
      </c>
      <c r="F2171" s="3" t="s">
        <v>157</v>
      </c>
      <c r="G2171" s="3" t="s">
        <v>106</v>
      </c>
      <c r="H2171" s="2" t="s">
        <v>36</v>
      </c>
      <c r="I2171" s="2" t="s">
        <v>5273</v>
      </c>
      <c r="J2171" s="3" t="str">
        <f>HYPERLINK("https://www.boe.es/gazeta/dias/1818/09/29/pdfs/GMD-1818-117.pdf#page=5","Abrir facsímil")</f>
        <v>Abrir facsímil</v>
      </c>
      <c r="K2171" s="3" t="s">
        <v>38</v>
      </c>
    </row>
    <row r="2172" spans="1:11" ht="42" customHeight="1">
      <c r="A2172" s="2" t="s">
        <v>5268</v>
      </c>
      <c r="B2172" s="2" t="s">
        <v>5268</v>
      </c>
      <c r="C2172" s="2" t="s">
        <v>26</v>
      </c>
      <c r="D2172" s="2" t="s">
        <v>27</v>
      </c>
      <c r="E2172" s="5">
        <v>-29649</v>
      </c>
      <c r="F2172" s="3" t="s">
        <v>585</v>
      </c>
      <c r="G2172" s="3" t="s">
        <v>29</v>
      </c>
      <c r="H2172" s="2" t="s">
        <v>36</v>
      </c>
      <c r="I2172" s="2" t="s">
        <v>5274</v>
      </c>
      <c r="J2172" s="3" t="str">
        <f>HYPERLINK("https://www.boe.es/gazeta/dias/1818/10/27/pdfs/GMD-1818-130.pdf#page=4","Abrir facsímil")</f>
        <v>Abrir facsímil</v>
      </c>
      <c r="K2172" s="3" t="s">
        <v>38</v>
      </c>
    </row>
    <row r="2173" spans="1:11" ht="42" customHeight="1">
      <c r="A2173" s="2" t="s">
        <v>5268</v>
      </c>
      <c r="B2173" s="2" t="s">
        <v>5268</v>
      </c>
      <c r="C2173" s="2" t="s">
        <v>26</v>
      </c>
      <c r="D2173" s="2" t="s">
        <v>27</v>
      </c>
      <c r="E2173" s="5">
        <v>-29619</v>
      </c>
      <c r="F2173" s="3" t="s">
        <v>64</v>
      </c>
      <c r="G2173" s="3" t="s">
        <v>59</v>
      </c>
      <c r="H2173" s="2" t="s">
        <v>36</v>
      </c>
      <c r="I2173" s="2" t="s">
        <v>5275</v>
      </c>
      <c r="J2173" s="3" t="str">
        <f>HYPERLINK("https://www.boe.es/gazeta/dias/1818/11/26/pdfs/GMD-1818-143.pdf#page=6","Abrir facsímil")</f>
        <v>Abrir facsímil</v>
      </c>
      <c r="K2173" s="3" t="s">
        <v>38</v>
      </c>
    </row>
    <row r="2174" spans="1:11" ht="42" customHeight="1">
      <c r="A2174" s="2" t="s">
        <v>5268</v>
      </c>
      <c r="B2174" s="2" t="s">
        <v>5268</v>
      </c>
      <c r="C2174" s="2" t="s">
        <v>26</v>
      </c>
      <c r="D2174" s="2" t="s">
        <v>27</v>
      </c>
      <c r="E2174" s="5">
        <v>-29605</v>
      </c>
      <c r="F2174" s="3" t="s">
        <v>888</v>
      </c>
      <c r="G2174" s="3" t="s">
        <v>889</v>
      </c>
      <c r="H2174" s="2" t="s">
        <v>36</v>
      </c>
      <c r="I2174" s="2" t="s">
        <v>5276</v>
      </c>
      <c r="J2174" s="3" t="str">
        <f>HYPERLINK("https://www.boe.es/gazeta/dias/1818/12/10/pdfs/GMD-1818-149.pdf#page=6","Abrir facsímil")</f>
        <v>Abrir facsímil</v>
      </c>
      <c r="K2174" s="3" t="s">
        <v>38</v>
      </c>
    </row>
    <row r="2175" spans="1:11" ht="42" customHeight="1">
      <c r="A2175" s="2" t="s">
        <v>5277</v>
      </c>
      <c r="B2175" s="2" t="s">
        <v>5278</v>
      </c>
      <c r="C2175" s="2" t="s">
        <v>97</v>
      </c>
      <c r="D2175" s="2" t="s">
        <v>18</v>
      </c>
      <c r="E2175" s="5">
        <v>-29824</v>
      </c>
      <c r="F2175" s="3" t="s">
        <v>101</v>
      </c>
      <c r="G2175" s="3" t="s">
        <v>45</v>
      </c>
      <c r="H2175" s="2" t="s">
        <v>36</v>
      </c>
      <c r="I2175" s="2" t="s">
        <v>5279</v>
      </c>
      <c r="J2175" s="3" t="str">
        <f>HYPERLINK("https://www.boe.es/gazeta/dias/1818/05/05/pdfs/GMD-1818-54.pdf#page=8","Abrir facsímil")</f>
        <v>Abrir facsímil</v>
      </c>
      <c r="K2175" s="3" t="s">
        <v>38</v>
      </c>
    </row>
    <row r="2176" spans="1:11" ht="42" customHeight="1">
      <c r="A2176" s="2" t="s">
        <v>5280</v>
      </c>
      <c r="B2176" s="2" t="s">
        <v>5281</v>
      </c>
      <c r="C2176" s="2" t="s">
        <v>68</v>
      </c>
      <c r="D2176" s="2" t="s">
        <v>69</v>
      </c>
      <c r="E2176" s="5">
        <v>-29593</v>
      </c>
      <c r="F2176" s="3" t="s">
        <v>185</v>
      </c>
      <c r="G2176" s="3" t="s">
        <v>20</v>
      </c>
      <c r="H2176" s="2" t="s">
        <v>36</v>
      </c>
      <c r="I2176" s="2" t="s">
        <v>5282</v>
      </c>
      <c r="J2176" s="3" t="str">
        <f>HYPERLINK("https://www.boe.es/gazeta/dias/1818/12/22/pdfs/GMD-1818-154.pdf#page=7","Abrir facsímil")</f>
        <v>Abrir facsímil</v>
      </c>
      <c r="K2176" s="3" t="s">
        <v>38</v>
      </c>
    </row>
    <row r="2177" spans="1:11" ht="42" customHeight="1">
      <c r="A2177" s="2" t="s">
        <v>5283</v>
      </c>
      <c r="B2177" s="2" t="s">
        <v>5283</v>
      </c>
      <c r="C2177" s="2" t="s">
        <v>26</v>
      </c>
      <c r="D2177" s="2" t="s">
        <v>27</v>
      </c>
      <c r="E2177" s="5">
        <v>-29887</v>
      </c>
      <c r="F2177" s="3" t="s">
        <v>613</v>
      </c>
      <c r="G2177" s="3" t="s">
        <v>59</v>
      </c>
      <c r="H2177" s="2" t="s">
        <v>36</v>
      </c>
      <c r="I2177" s="2" t="s">
        <v>5284</v>
      </c>
      <c r="J2177" s="3" t="str">
        <f>HYPERLINK("https://www.boe.es/gazeta/dias/1818/03/03/pdfs/GMD-1818-27.pdf#page=6","Abrir facsímil")</f>
        <v>Abrir facsímil</v>
      </c>
      <c r="K2177" s="3" t="s">
        <v>38</v>
      </c>
    </row>
    <row r="2178" spans="1:11" ht="42" customHeight="1">
      <c r="A2178" s="2" t="s">
        <v>5283</v>
      </c>
      <c r="B2178" s="2" t="s">
        <v>5283</v>
      </c>
      <c r="C2178" s="2" t="s">
        <v>17</v>
      </c>
      <c r="D2178" s="2" t="s">
        <v>18</v>
      </c>
      <c r="E2178" s="5">
        <v>-29750</v>
      </c>
      <c r="F2178" s="3" t="s">
        <v>384</v>
      </c>
      <c r="G2178" s="3" t="s">
        <v>29</v>
      </c>
      <c r="H2178" s="2" t="s">
        <v>36</v>
      </c>
      <c r="I2178" s="2" t="s">
        <v>5285</v>
      </c>
      <c r="J2178" s="3" t="str">
        <f>HYPERLINK("https://www.boe.es/gazeta/dias/1818/07/18/pdfs/GMD-1818-86.pdf#page=4","Abrir facsímil")</f>
        <v>Abrir facsímil</v>
      </c>
      <c r="K2178" s="3" t="s">
        <v>38</v>
      </c>
    </row>
    <row r="2179" spans="1:11" ht="42" customHeight="1">
      <c r="A2179" s="2" t="s">
        <v>5283</v>
      </c>
      <c r="B2179" s="2" t="s">
        <v>5283</v>
      </c>
      <c r="C2179" s="2" t="s">
        <v>33</v>
      </c>
      <c r="D2179" s="2" t="s">
        <v>18</v>
      </c>
      <c r="E2179" s="5">
        <v>-29736</v>
      </c>
      <c r="F2179" s="3" t="s">
        <v>581</v>
      </c>
      <c r="G2179" s="3" t="s">
        <v>59</v>
      </c>
      <c r="H2179" s="2" t="s">
        <v>36</v>
      </c>
      <c r="I2179" s="2" t="s">
        <v>5286</v>
      </c>
      <c r="J2179" s="3" t="str">
        <f>HYPERLINK("https://www.boe.es/gazeta/dias/1818/08/01/pdfs/GMD-1818-92.pdf#page=6","Abrir facsímil")</f>
        <v>Abrir facsímil</v>
      </c>
      <c r="K2179" s="3" t="s">
        <v>38</v>
      </c>
    </row>
    <row r="2180" spans="1:11" ht="42" customHeight="1">
      <c r="A2180" s="2" t="s">
        <v>5287</v>
      </c>
      <c r="B2180" s="2" t="s">
        <v>5287</v>
      </c>
      <c r="C2180" s="2" t="s">
        <v>17</v>
      </c>
      <c r="D2180" s="2" t="s">
        <v>18</v>
      </c>
      <c r="E2180" s="5">
        <v>-29932</v>
      </c>
      <c r="F2180" s="3" t="s">
        <v>34</v>
      </c>
      <c r="G2180" s="3" t="s">
        <v>35</v>
      </c>
      <c r="H2180" s="2" t="s">
        <v>36</v>
      </c>
      <c r="I2180" s="2" t="s">
        <v>5288</v>
      </c>
      <c r="J2180" s="3" t="str">
        <f>HYPERLINK("https://www.boe.es/gazeta/dias/1818/01/17/pdfs/GMD-1818-8.pdf#page=8","Abrir facsímil")</f>
        <v>Abrir facsímil</v>
      </c>
      <c r="K2180" s="3" t="s">
        <v>38</v>
      </c>
    </row>
    <row r="2181" spans="1:11" ht="42" customHeight="1">
      <c r="A2181" s="2" t="s">
        <v>5287</v>
      </c>
      <c r="B2181" s="2" t="s">
        <v>5287</v>
      </c>
      <c r="C2181" s="2" t="s">
        <v>26</v>
      </c>
      <c r="D2181" s="2" t="s">
        <v>27</v>
      </c>
      <c r="E2181" s="5">
        <v>-29897</v>
      </c>
      <c r="F2181" s="3" t="s">
        <v>318</v>
      </c>
      <c r="G2181" s="3" t="s">
        <v>106</v>
      </c>
      <c r="H2181" s="2" t="s">
        <v>36</v>
      </c>
      <c r="I2181" s="2" t="s">
        <v>5289</v>
      </c>
      <c r="J2181" s="3" t="str">
        <f>HYPERLINK("https://www.boe.es/gazeta/dias/1818/02/21/pdfs/GMD-1818-23.pdf#page=5","Abrir facsímil")</f>
        <v>Abrir facsímil</v>
      </c>
      <c r="K2181" s="3" t="s">
        <v>38</v>
      </c>
    </row>
    <row r="2182" spans="1:11" ht="42" customHeight="1">
      <c r="A2182" s="2" t="s">
        <v>5287</v>
      </c>
      <c r="B2182" s="2" t="s">
        <v>5287</v>
      </c>
      <c r="C2182" s="2" t="s">
        <v>26</v>
      </c>
      <c r="D2182" s="2" t="s">
        <v>27</v>
      </c>
      <c r="E2182" s="5">
        <v>-29740</v>
      </c>
      <c r="F2182" s="3" t="s">
        <v>152</v>
      </c>
      <c r="G2182" s="3" t="s">
        <v>106</v>
      </c>
      <c r="H2182" s="2" t="s">
        <v>36</v>
      </c>
      <c r="I2182" s="2" t="s">
        <v>5290</v>
      </c>
      <c r="J2182" s="3" t="str">
        <f>HYPERLINK("https://www.boe.es/gazeta/dias/1818/07/28/pdfs/GMD-1818-90.pdf#page=5","Abrir facsímil")</f>
        <v>Abrir facsímil</v>
      </c>
      <c r="K2182" s="3" t="s">
        <v>38</v>
      </c>
    </row>
    <row r="2183" spans="1:11" ht="42" customHeight="1">
      <c r="A2183" s="2" t="s">
        <v>5291</v>
      </c>
      <c r="B2183" s="2" t="s">
        <v>5291</v>
      </c>
      <c r="C2183" s="2" t="s">
        <v>68</v>
      </c>
      <c r="D2183" s="2" t="s">
        <v>69</v>
      </c>
      <c r="E2183" s="5">
        <v>-29852</v>
      </c>
      <c r="F2183" s="3" t="s">
        <v>327</v>
      </c>
      <c r="G2183" s="3" t="s">
        <v>45</v>
      </c>
      <c r="H2183" s="2" t="s">
        <v>36</v>
      </c>
      <c r="I2183" s="2" t="s">
        <v>5292</v>
      </c>
      <c r="J2183" s="3" t="str">
        <f>HYPERLINK("https://www.boe.es/gazeta/dias/1818/04/07/pdfs/GMD-1818-42.pdf#page=8","Abrir facsímil")</f>
        <v>Abrir facsímil</v>
      </c>
      <c r="K2183" s="3" t="s">
        <v>38</v>
      </c>
    </row>
    <row r="2184" spans="1:11" ht="42" customHeight="1">
      <c r="A2184" s="2" t="s">
        <v>5291</v>
      </c>
      <c r="B2184" s="2" t="s">
        <v>5291</v>
      </c>
      <c r="C2184" s="2" t="s">
        <v>68</v>
      </c>
      <c r="D2184" s="2" t="s">
        <v>69</v>
      </c>
      <c r="E2184" s="5">
        <v>-29843</v>
      </c>
      <c r="F2184" s="3" t="s">
        <v>182</v>
      </c>
      <c r="G2184" s="3" t="s">
        <v>45</v>
      </c>
      <c r="H2184" s="2" t="s">
        <v>36</v>
      </c>
      <c r="I2184" s="2" t="s">
        <v>5293</v>
      </c>
      <c r="J2184" s="3" t="str">
        <f>HYPERLINK("https://www.boe.es/gazeta/dias/1818/04/16/pdfs/GMD-1818-46.pdf#page=8","Abrir facsímil")</f>
        <v>Abrir facsímil</v>
      </c>
      <c r="K2184" s="3" t="s">
        <v>38</v>
      </c>
    </row>
    <row r="2185" spans="1:11" ht="42" customHeight="1">
      <c r="A2185" s="2" t="s">
        <v>5291</v>
      </c>
      <c r="B2185" s="2" t="s">
        <v>5291</v>
      </c>
      <c r="C2185" s="2" t="s">
        <v>68</v>
      </c>
      <c r="D2185" s="2" t="s">
        <v>69</v>
      </c>
      <c r="E2185" s="5">
        <v>-29822</v>
      </c>
      <c r="F2185" s="3" t="s">
        <v>373</v>
      </c>
      <c r="G2185" s="3" t="s">
        <v>45</v>
      </c>
      <c r="H2185" s="2" t="s">
        <v>36</v>
      </c>
      <c r="I2185" s="2" t="s">
        <v>5294</v>
      </c>
      <c r="J2185" s="3" t="str">
        <f>HYPERLINK("https://www.boe.es/gazeta/dias/1818/05/07/pdfs/GMD-1818-55.pdf#page=8","Abrir facsímil")</f>
        <v>Abrir facsímil</v>
      </c>
      <c r="K2185" s="3" t="s">
        <v>38</v>
      </c>
    </row>
    <row r="2186" spans="1:11" ht="42" customHeight="1">
      <c r="A2186" s="2" t="s">
        <v>5291</v>
      </c>
      <c r="B2186" s="2" t="s">
        <v>5291</v>
      </c>
      <c r="C2186" s="2" t="s">
        <v>26</v>
      </c>
      <c r="D2186" s="2" t="s">
        <v>27</v>
      </c>
      <c r="E2186" s="5">
        <v>-29754</v>
      </c>
      <c r="F2186" s="3" t="s">
        <v>466</v>
      </c>
      <c r="G2186" s="3" t="s">
        <v>20</v>
      </c>
      <c r="H2186" s="2" t="s">
        <v>36</v>
      </c>
      <c r="I2186" s="2" t="s">
        <v>5295</v>
      </c>
      <c r="J2186" s="3" t="str">
        <f>HYPERLINK("https://www.boe.es/gazeta/dias/1818/07/14/pdfs/GMD-1818-84.pdf#page=7","Abrir facsímil")</f>
        <v>Abrir facsímil</v>
      </c>
      <c r="K2186" s="3" t="s">
        <v>38</v>
      </c>
    </row>
    <row r="2187" spans="1:11" ht="42" customHeight="1">
      <c r="A2187" s="2" t="s">
        <v>5291</v>
      </c>
      <c r="B2187" s="2" t="s">
        <v>5291</v>
      </c>
      <c r="C2187" s="2" t="s">
        <v>17</v>
      </c>
      <c r="D2187" s="2" t="s">
        <v>18</v>
      </c>
      <c r="E2187" s="5">
        <v>-29698</v>
      </c>
      <c r="F2187" s="3" t="s">
        <v>148</v>
      </c>
      <c r="G2187" s="3" t="s">
        <v>29</v>
      </c>
      <c r="H2187" s="2" t="s">
        <v>36</v>
      </c>
      <c r="I2187" s="2" t="s">
        <v>5296</v>
      </c>
      <c r="J2187" s="3" t="str">
        <f>HYPERLINK("https://www.boe.es/gazeta/dias/1818/09/08/pdfs/GMD-1818-108.pdf#page=4","Abrir facsímil")</f>
        <v>Abrir facsímil</v>
      </c>
      <c r="K2187" s="3" t="s">
        <v>38</v>
      </c>
    </row>
    <row r="2188" spans="1:11" ht="42" customHeight="1">
      <c r="A2188" s="2" t="s">
        <v>5291</v>
      </c>
      <c r="B2188" s="2" t="s">
        <v>5291</v>
      </c>
      <c r="C2188" s="2" t="s">
        <v>97</v>
      </c>
      <c r="D2188" s="2" t="s">
        <v>18</v>
      </c>
      <c r="E2188" s="5">
        <v>-29691</v>
      </c>
      <c r="F2188" s="3" t="s">
        <v>144</v>
      </c>
      <c r="G2188" s="3" t="s">
        <v>59</v>
      </c>
      <c r="H2188" s="2" t="s">
        <v>36</v>
      </c>
      <c r="I2188" s="2" t="s">
        <v>5297</v>
      </c>
      <c r="J2188" s="3" t="str">
        <f>HYPERLINK("https://www.boe.es/gazeta/dias/1818/09/15/pdfs/GMD-1818-111.pdf#page=6","Abrir facsímil")</f>
        <v>Abrir facsímil</v>
      </c>
      <c r="K2188" s="3" t="s">
        <v>38</v>
      </c>
    </row>
    <row r="2189" spans="1:11" ht="42" customHeight="1">
      <c r="A2189" s="2" t="s">
        <v>5291</v>
      </c>
      <c r="B2189" s="2" t="s">
        <v>5291</v>
      </c>
      <c r="C2189" s="2" t="s">
        <v>26</v>
      </c>
      <c r="D2189" s="2" t="s">
        <v>27</v>
      </c>
      <c r="E2189" s="5">
        <v>-29677</v>
      </c>
      <c r="F2189" s="3" t="s">
        <v>157</v>
      </c>
      <c r="G2189" s="3" t="s">
        <v>106</v>
      </c>
      <c r="H2189" s="2" t="s">
        <v>36</v>
      </c>
      <c r="I2189" s="2" t="s">
        <v>5298</v>
      </c>
      <c r="J2189" s="3" t="str">
        <f>HYPERLINK("https://www.boe.es/gazeta/dias/1818/09/29/pdfs/GMD-1818-117.pdf#page=5","Abrir facsímil")</f>
        <v>Abrir facsímil</v>
      </c>
      <c r="K2189" s="3" t="s">
        <v>38</v>
      </c>
    </row>
    <row r="2190" spans="1:11" ht="42" customHeight="1">
      <c r="A2190" s="2" t="s">
        <v>5291</v>
      </c>
      <c r="B2190" s="2" t="s">
        <v>5291</v>
      </c>
      <c r="C2190" s="2" t="s">
        <v>26</v>
      </c>
      <c r="D2190" s="2" t="s">
        <v>27</v>
      </c>
      <c r="E2190" s="5">
        <v>-29673</v>
      </c>
      <c r="F2190" s="3" t="s">
        <v>1099</v>
      </c>
      <c r="G2190" s="3" t="s">
        <v>106</v>
      </c>
      <c r="H2190" s="2" t="s">
        <v>36</v>
      </c>
      <c r="I2190" s="2" t="s">
        <v>5299</v>
      </c>
      <c r="J2190" s="3" t="str">
        <f>HYPERLINK("https://www.boe.es/gazeta/dias/1818/10/03/pdfs/GMD-1818-119.pdf#page=5","Abrir facsímil")</f>
        <v>Abrir facsímil</v>
      </c>
      <c r="K2190" s="3" t="s">
        <v>38</v>
      </c>
    </row>
    <row r="2191" spans="1:11" ht="42" customHeight="1">
      <c r="A2191" s="2" t="s">
        <v>5291</v>
      </c>
      <c r="B2191" s="2" t="s">
        <v>5291</v>
      </c>
      <c r="C2191" s="2" t="s">
        <v>68</v>
      </c>
      <c r="D2191" s="2" t="s">
        <v>69</v>
      </c>
      <c r="E2191" s="5">
        <v>-29649</v>
      </c>
      <c r="F2191" s="3" t="s">
        <v>585</v>
      </c>
      <c r="G2191" s="3" t="s">
        <v>45</v>
      </c>
      <c r="H2191" s="2" t="s">
        <v>36</v>
      </c>
      <c r="I2191" s="2" t="s">
        <v>5300</v>
      </c>
      <c r="J2191" s="3" t="str">
        <f>HYPERLINK("https://www.boe.es/gazeta/dias/1818/10/27/pdfs/GMD-1818-130.pdf#page=8","Abrir facsímil")</f>
        <v>Abrir facsímil</v>
      </c>
      <c r="K2191" s="3" t="s">
        <v>38</v>
      </c>
    </row>
    <row r="2192" spans="1:11" ht="42" customHeight="1">
      <c r="A2192" s="2" t="s">
        <v>5301</v>
      </c>
      <c r="B2192" s="2" t="s">
        <v>5301</v>
      </c>
      <c r="C2192" s="2" t="s">
        <v>97</v>
      </c>
      <c r="D2192" s="2" t="s">
        <v>18</v>
      </c>
      <c r="E2192" s="5">
        <v>-29598</v>
      </c>
      <c r="F2192" s="3" t="s">
        <v>98</v>
      </c>
      <c r="G2192" s="3" t="s">
        <v>45</v>
      </c>
      <c r="H2192" s="2" t="s">
        <v>36</v>
      </c>
      <c r="I2192" s="2" t="s">
        <v>5302</v>
      </c>
      <c r="J2192" s="3" t="str">
        <f>HYPERLINK("https://www.boe.es/gazeta/dias/1818/12/17/pdfs/GMD-1818-152.pdf#page=8","Abrir facsímil")</f>
        <v>Abrir facsímil</v>
      </c>
      <c r="K2192" s="3" t="s">
        <v>38</v>
      </c>
    </row>
    <row r="2193" spans="1:11" ht="42" customHeight="1">
      <c r="A2193" s="2" t="s">
        <v>5303</v>
      </c>
      <c r="B2193" s="2" t="s">
        <v>5304</v>
      </c>
      <c r="C2193" s="2" t="s">
        <v>17</v>
      </c>
      <c r="D2193" s="2" t="s">
        <v>18</v>
      </c>
      <c r="E2193" s="5">
        <v>-29829</v>
      </c>
      <c r="F2193" s="3" t="s">
        <v>44</v>
      </c>
      <c r="G2193" s="3" t="s">
        <v>45</v>
      </c>
      <c r="H2193" s="2" t="s">
        <v>36</v>
      </c>
      <c r="I2193" s="2" t="s">
        <v>5305</v>
      </c>
      <c r="J2193" s="3" t="str">
        <f>HYPERLINK("https://www.boe.es/gazeta/dias/1818/04/30/pdfs/GMD-1818-52.pdf#page=8","Abrir facsímil")</f>
        <v>Abrir facsímil</v>
      </c>
      <c r="K2193" s="3" t="s">
        <v>38</v>
      </c>
    </row>
    <row r="2194" spans="1:11" ht="42" customHeight="1">
      <c r="A2194" s="2" t="s">
        <v>5306</v>
      </c>
      <c r="B2194" s="2" t="s">
        <v>5306</v>
      </c>
      <c r="C2194" s="2" t="s">
        <v>68</v>
      </c>
      <c r="D2194" s="2" t="s">
        <v>69</v>
      </c>
      <c r="E2194" s="5">
        <v>-29834</v>
      </c>
      <c r="F2194" s="3" t="s">
        <v>457</v>
      </c>
      <c r="G2194" s="3" t="s">
        <v>458</v>
      </c>
      <c r="H2194" s="2" t="s">
        <v>36</v>
      </c>
      <c r="I2194" s="2" t="s">
        <v>5307</v>
      </c>
      <c r="J2194" s="3" t="str">
        <f>HYPERLINK("https://www.boe.es/gazeta/dias/1818/04/25/pdfs/GMD-1818-50.pdf#page=8","Abrir facsímil")</f>
        <v>Abrir facsímil</v>
      </c>
      <c r="K2194" s="3" t="s">
        <v>38</v>
      </c>
    </row>
    <row r="2195" spans="1:11" ht="42" customHeight="1">
      <c r="A2195" s="2" t="s">
        <v>5308</v>
      </c>
      <c r="B2195" s="2" t="s">
        <v>5308</v>
      </c>
      <c r="C2195" s="2" t="s">
        <v>26</v>
      </c>
      <c r="D2195" s="2" t="s">
        <v>27</v>
      </c>
      <c r="E2195" s="5">
        <v>-29719</v>
      </c>
      <c r="F2195" s="3" t="s">
        <v>243</v>
      </c>
      <c r="G2195" s="3" t="s">
        <v>111</v>
      </c>
      <c r="H2195" s="2" t="s">
        <v>36</v>
      </c>
      <c r="I2195" s="2" t="s">
        <v>5309</v>
      </c>
      <c r="J2195" s="3" t="str">
        <f>HYPERLINK("https://www.boe.es/gazeta/dias/1818/08/18/pdfs/GMD-1818-99.pdf#page=11","Abrir facsímil")</f>
        <v>Abrir facsímil</v>
      </c>
      <c r="K2195" s="3" t="s">
        <v>38</v>
      </c>
    </row>
    <row r="2196" spans="1:11" ht="42" customHeight="1">
      <c r="A2196" s="2" t="s">
        <v>5310</v>
      </c>
      <c r="B2196" s="2" t="s">
        <v>5311</v>
      </c>
      <c r="C2196" s="2" t="s">
        <v>26</v>
      </c>
      <c r="D2196" s="2" t="s">
        <v>27</v>
      </c>
      <c r="E2196" s="5">
        <v>-29920</v>
      </c>
      <c r="F2196" s="3" t="s">
        <v>201</v>
      </c>
      <c r="G2196" s="3" t="s">
        <v>29</v>
      </c>
      <c r="H2196" s="2" t="s">
        <v>36</v>
      </c>
      <c r="I2196" s="2" t="s">
        <v>5312</v>
      </c>
      <c r="J2196" s="3" t="str">
        <f>HYPERLINK("https://www.boe.es/gazeta/dias/1818/01/29/pdfs/GMD-1818-13.pdf#page=4","Abrir facsímil")</f>
        <v>Abrir facsímil</v>
      </c>
      <c r="K2196" s="3" t="s">
        <v>38</v>
      </c>
    </row>
    <row r="2197" spans="1:11" ht="42" customHeight="1">
      <c r="A2197" s="2" t="s">
        <v>5313</v>
      </c>
      <c r="B2197" s="2" t="s">
        <v>5314</v>
      </c>
      <c r="C2197" s="2" t="s">
        <v>26</v>
      </c>
      <c r="D2197" s="2" t="s">
        <v>27</v>
      </c>
      <c r="E2197" s="5">
        <v>-29934</v>
      </c>
      <c r="F2197" s="3" t="s">
        <v>53</v>
      </c>
      <c r="G2197" s="3" t="s">
        <v>20</v>
      </c>
      <c r="H2197" s="2" t="s">
        <v>21</v>
      </c>
      <c r="I2197" s="2" t="s">
        <v>5315</v>
      </c>
      <c r="J2197" s="3" t="str">
        <f>HYPERLINK("https://www.boe.es/gazeta/dias/1818/01/15/pdfs/GMD-1818-7.pdf#page=7","Abrir facsímil")</f>
        <v>Abrir facsímil</v>
      </c>
      <c r="K2197" s="3" t="s">
        <v>23</v>
      </c>
    </row>
    <row r="2198" spans="1:11" ht="42" customHeight="1">
      <c r="A2198" s="2" t="s">
        <v>5316</v>
      </c>
      <c r="B2198" s="2" t="s">
        <v>5317</v>
      </c>
      <c r="C2198" s="2" t="s">
        <v>33</v>
      </c>
      <c r="D2198" s="2" t="s">
        <v>18</v>
      </c>
      <c r="E2198" s="5">
        <v>-29820</v>
      </c>
      <c r="F2198" s="3" t="s">
        <v>2971</v>
      </c>
      <c r="G2198" s="3" t="s">
        <v>2972</v>
      </c>
      <c r="H2198" s="2" t="s">
        <v>36</v>
      </c>
      <c r="I2198" s="2" t="s">
        <v>5318</v>
      </c>
      <c r="J2198" s="3" t="str">
        <f>HYPERLINK("https://www.boe.es/gazeta/dias/1818/05/09/pdfs/GMD-1818-56.pdf#page=8","Abrir facsímil")</f>
        <v>Abrir facsímil</v>
      </c>
      <c r="K2198" s="3" t="s">
        <v>38</v>
      </c>
    </row>
    <row r="2199" spans="1:11" ht="42" customHeight="1">
      <c r="A2199" s="2" t="s">
        <v>5319</v>
      </c>
      <c r="B2199" s="2" t="s">
        <v>5320</v>
      </c>
      <c r="C2199" s="2" t="s">
        <v>26</v>
      </c>
      <c r="D2199" s="2" t="s">
        <v>27</v>
      </c>
      <c r="E2199" s="5">
        <v>-29855</v>
      </c>
      <c r="F2199" s="3" t="s">
        <v>676</v>
      </c>
      <c r="G2199" s="3" t="s">
        <v>20</v>
      </c>
      <c r="H2199" s="2" t="s">
        <v>36</v>
      </c>
      <c r="I2199" s="2" t="s">
        <v>5321</v>
      </c>
      <c r="J2199" s="3" t="str">
        <f>HYPERLINK("https://www.boe.es/gazeta/dias/1818/04/04/pdfs/GMD-1818-41.pdf#page=7","Abrir facsímil")</f>
        <v>Abrir facsímil</v>
      </c>
      <c r="K2199" s="3" t="s">
        <v>38</v>
      </c>
    </row>
    <row r="2200" spans="1:11" ht="42" customHeight="1">
      <c r="A2200" s="2" t="s">
        <v>5322</v>
      </c>
      <c r="B2200" s="2" t="s">
        <v>5322</v>
      </c>
      <c r="C2200" s="2" t="s">
        <v>26</v>
      </c>
      <c r="D2200" s="2" t="s">
        <v>27</v>
      </c>
      <c r="E2200" s="5">
        <v>-29768</v>
      </c>
      <c r="F2200" s="3" t="s">
        <v>253</v>
      </c>
      <c r="G2200" s="3" t="s">
        <v>5323</v>
      </c>
      <c r="H2200" s="2" t="s">
        <v>36</v>
      </c>
      <c r="I2200" s="2" t="s">
        <v>5324</v>
      </c>
      <c r="J2200" s="3" t="str">
        <f>HYPERLINK("https://www.boe.es/gazeta/dias/1818/06/30/pdfs/GMD-1818-78.pdf#page=4","Abrir facsímil")</f>
        <v>Abrir facsímil</v>
      </c>
      <c r="K2200" s="3" t="s">
        <v>38</v>
      </c>
    </row>
    <row r="2201" spans="1:11" ht="42" customHeight="1">
      <c r="A2201" s="2" t="s">
        <v>5322</v>
      </c>
      <c r="B2201" s="2" t="s">
        <v>5322</v>
      </c>
      <c r="C2201" s="2" t="s">
        <v>17</v>
      </c>
      <c r="D2201" s="2" t="s">
        <v>18</v>
      </c>
      <c r="E2201" s="5">
        <v>-29656</v>
      </c>
      <c r="F2201" s="3" t="s">
        <v>601</v>
      </c>
      <c r="G2201" s="3" t="s">
        <v>85</v>
      </c>
      <c r="H2201" s="2" t="s">
        <v>36</v>
      </c>
      <c r="I2201" s="2" t="s">
        <v>5325</v>
      </c>
      <c r="J2201" s="3" t="str">
        <f>HYPERLINK("https://www.boe.es/gazeta/dias/1818/10/20/pdfs/GMD-1818-127.pdf#page=3","Abrir facsímil")</f>
        <v>Abrir facsímil</v>
      </c>
      <c r="K2201" s="3" t="s">
        <v>38</v>
      </c>
    </row>
    <row r="2202" spans="1:11" ht="42" customHeight="1">
      <c r="A2202" s="2" t="s">
        <v>5326</v>
      </c>
      <c r="B2202" s="2" t="s">
        <v>5326</v>
      </c>
      <c r="C2202" s="2" t="s">
        <v>26</v>
      </c>
      <c r="D2202" s="2" t="s">
        <v>27</v>
      </c>
      <c r="E2202" s="5">
        <v>-29936</v>
      </c>
      <c r="F2202" s="3" t="s">
        <v>398</v>
      </c>
      <c r="G2202" s="3" t="s">
        <v>29</v>
      </c>
      <c r="H2202" s="2" t="s">
        <v>36</v>
      </c>
      <c r="I2202" s="2" t="s">
        <v>5327</v>
      </c>
      <c r="J2202" s="3" t="str">
        <f>HYPERLINK("https://www.boe.es/gazeta/dias/1818/01/13/pdfs/GMD-1818-6.pdf#page=4","Abrir facsímil")</f>
        <v>Abrir facsímil</v>
      </c>
      <c r="K2202" s="3" t="s">
        <v>38</v>
      </c>
    </row>
    <row r="2203" spans="1:11" ht="42" customHeight="1">
      <c r="A2203" s="2" t="s">
        <v>5326</v>
      </c>
      <c r="B2203" s="2" t="s">
        <v>5326</v>
      </c>
      <c r="C2203" s="2" t="s">
        <v>17</v>
      </c>
      <c r="D2203" s="2" t="s">
        <v>18</v>
      </c>
      <c r="E2203" s="5">
        <v>-29929</v>
      </c>
      <c r="F2203" s="3" t="s">
        <v>204</v>
      </c>
      <c r="G2203" s="3" t="s">
        <v>106</v>
      </c>
      <c r="H2203" s="2" t="s">
        <v>36</v>
      </c>
      <c r="I2203" s="2" t="s">
        <v>5328</v>
      </c>
      <c r="J2203" s="3" t="str">
        <f>HYPERLINK("https://www.boe.es/gazeta/dias/1818/01/20/pdfs/GMD-1818-9.pdf#page=5","Abrir facsímil")</f>
        <v>Abrir facsímil</v>
      </c>
      <c r="K2203" s="3" t="s">
        <v>38</v>
      </c>
    </row>
    <row r="2204" spans="1:11" ht="42" customHeight="1">
      <c r="A2204" s="2" t="s">
        <v>5326</v>
      </c>
      <c r="B2204" s="2" t="s">
        <v>5326</v>
      </c>
      <c r="C2204" s="2" t="s">
        <v>57</v>
      </c>
      <c r="D2204" s="2" t="s">
        <v>18</v>
      </c>
      <c r="E2204" s="5">
        <v>-29915</v>
      </c>
      <c r="F2204" s="3" t="s">
        <v>429</v>
      </c>
      <c r="G2204" s="3" t="s">
        <v>20</v>
      </c>
      <c r="H2204" s="2" t="s">
        <v>36</v>
      </c>
      <c r="I2204" s="2" t="s">
        <v>5329</v>
      </c>
      <c r="J2204" s="3" t="str">
        <f>HYPERLINK("https://www.boe.es/gazeta/dias/1818/02/03/pdfs/GMD-1818-15.pdf#page=7","Abrir facsímil")</f>
        <v>Abrir facsímil</v>
      </c>
      <c r="K2204" s="3" t="s">
        <v>38</v>
      </c>
    </row>
    <row r="2205" spans="1:11" ht="42" customHeight="1">
      <c r="A2205" s="2" t="s">
        <v>5326</v>
      </c>
      <c r="B2205" s="2" t="s">
        <v>5326</v>
      </c>
      <c r="C2205" s="2" t="s">
        <v>26</v>
      </c>
      <c r="D2205" s="2" t="s">
        <v>27</v>
      </c>
      <c r="E2205" s="5">
        <v>-29873</v>
      </c>
      <c r="F2205" s="3" t="s">
        <v>323</v>
      </c>
      <c r="G2205" s="3" t="s">
        <v>85</v>
      </c>
      <c r="H2205" s="2" t="s">
        <v>36</v>
      </c>
      <c r="I2205" s="2" t="s">
        <v>5330</v>
      </c>
      <c r="J2205" s="3" t="str">
        <f>HYPERLINK("https://www.boe.es/gazeta/dias/1818/03/17/pdfs/GMD-1818-33.pdf#page=3","Abrir facsímil")</f>
        <v>Abrir facsímil</v>
      </c>
      <c r="K2205" s="3" t="s">
        <v>38</v>
      </c>
    </row>
    <row r="2206" spans="1:11" ht="42" customHeight="1">
      <c r="A2206" s="2" t="s">
        <v>5326</v>
      </c>
      <c r="B2206" s="2" t="s">
        <v>5326</v>
      </c>
      <c r="C2206" s="2" t="s">
        <v>26</v>
      </c>
      <c r="D2206" s="2" t="s">
        <v>27</v>
      </c>
      <c r="E2206" s="5">
        <v>-29806</v>
      </c>
      <c r="F2206" s="3" t="s">
        <v>84</v>
      </c>
      <c r="G2206" s="3" t="s">
        <v>20</v>
      </c>
      <c r="H2206" s="2" t="s">
        <v>36</v>
      </c>
      <c r="I2206" s="2" t="s">
        <v>5331</v>
      </c>
      <c r="J2206" s="3" t="str">
        <f>HYPERLINK("https://www.boe.es/gazeta/dias/1818/05/23/pdfs/GMD-1818-62.pdf#page=7","Abrir facsímil")</f>
        <v>Abrir facsímil</v>
      </c>
      <c r="K2206" s="3" t="s">
        <v>38</v>
      </c>
    </row>
    <row r="2207" spans="1:11" ht="42" customHeight="1">
      <c r="A2207" s="2" t="s">
        <v>5332</v>
      </c>
      <c r="B2207" s="2" t="s">
        <v>5332</v>
      </c>
      <c r="C2207" s="2" t="s">
        <v>26</v>
      </c>
      <c r="D2207" s="2" t="s">
        <v>27</v>
      </c>
      <c r="E2207" s="5">
        <v>-29766</v>
      </c>
      <c r="F2207" s="3" t="s">
        <v>276</v>
      </c>
      <c r="G2207" s="3" t="s">
        <v>45</v>
      </c>
      <c r="H2207" s="2" t="s">
        <v>36</v>
      </c>
      <c r="I2207" s="2" t="s">
        <v>5333</v>
      </c>
      <c r="J2207" s="3" t="str">
        <f>HYPERLINK("https://www.boe.es/gazeta/dias/1818/07/02/pdfs/GMD-1818-79.pdf#page=8","Abrir facsímil")</f>
        <v>Abrir facsímil</v>
      </c>
      <c r="K2207" s="3" t="s">
        <v>38</v>
      </c>
    </row>
    <row r="2208" spans="1:11" ht="42" customHeight="1">
      <c r="A2208" s="2" t="s">
        <v>5326</v>
      </c>
      <c r="B2208" s="2" t="s">
        <v>5326</v>
      </c>
      <c r="C2208" s="2" t="s">
        <v>26</v>
      </c>
      <c r="D2208" s="2" t="s">
        <v>27</v>
      </c>
      <c r="E2208" s="5">
        <v>-29750</v>
      </c>
      <c r="F2208" s="3" t="s">
        <v>384</v>
      </c>
      <c r="G2208" s="3" t="s">
        <v>111</v>
      </c>
      <c r="H2208" s="2" t="s">
        <v>36</v>
      </c>
      <c r="I2208" s="2" t="s">
        <v>5334</v>
      </c>
      <c r="J2208" s="3" t="str">
        <f>HYPERLINK("https://www.boe.es/gazeta/dias/1818/07/18/pdfs/GMD-1818-86.pdf#page=11","Abrir facsímil")</f>
        <v>Abrir facsímil</v>
      </c>
      <c r="K2208" s="3" t="s">
        <v>38</v>
      </c>
    </row>
    <row r="2209" spans="1:11" ht="42" customHeight="1">
      <c r="A2209" s="2" t="s">
        <v>5326</v>
      </c>
      <c r="B2209" s="2" t="s">
        <v>5326</v>
      </c>
      <c r="C2209" s="2" t="s">
        <v>17</v>
      </c>
      <c r="D2209" s="2" t="s">
        <v>18</v>
      </c>
      <c r="E2209" s="5">
        <v>-29750</v>
      </c>
      <c r="F2209" s="3" t="s">
        <v>384</v>
      </c>
      <c r="G2209" s="3" t="s">
        <v>59</v>
      </c>
      <c r="H2209" s="2" t="s">
        <v>36</v>
      </c>
      <c r="I2209" s="2" t="s">
        <v>5335</v>
      </c>
      <c r="J2209" s="3" t="str">
        <f>HYPERLINK("https://www.boe.es/gazeta/dias/1818/07/18/pdfs/GMD-1818-86.pdf#page=6","Abrir facsímil")</f>
        <v>Abrir facsímil</v>
      </c>
      <c r="K2209" s="3" t="s">
        <v>38</v>
      </c>
    </row>
    <row r="2210" spans="1:11" ht="42" customHeight="1">
      <c r="A2210" s="2" t="s">
        <v>5326</v>
      </c>
      <c r="B2210" s="2" t="s">
        <v>5326</v>
      </c>
      <c r="C2210" s="2" t="s">
        <v>68</v>
      </c>
      <c r="D2210" s="2" t="s">
        <v>69</v>
      </c>
      <c r="E2210" s="5">
        <v>-29743</v>
      </c>
      <c r="F2210" s="3" t="s">
        <v>734</v>
      </c>
      <c r="G2210" s="3" t="s">
        <v>20</v>
      </c>
      <c r="H2210" s="2" t="s">
        <v>36</v>
      </c>
      <c r="I2210" s="2" t="s">
        <v>5336</v>
      </c>
      <c r="J2210" s="3" t="str">
        <f>HYPERLINK("https://www.boe.es/gazeta/dias/1818/07/25/pdfs/GMD-1818-89.pdf#page=7","Abrir facsímil")</f>
        <v>Abrir facsímil</v>
      </c>
      <c r="K2210" s="3" t="s">
        <v>38</v>
      </c>
    </row>
    <row r="2211" spans="1:11" ht="42" customHeight="1">
      <c r="A2211" s="2" t="s">
        <v>5326</v>
      </c>
      <c r="B2211" s="2" t="s">
        <v>5326</v>
      </c>
      <c r="C2211" s="2" t="s">
        <v>26</v>
      </c>
      <c r="D2211" s="2" t="s">
        <v>27</v>
      </c>
      <c r="E2211" s="5">
        <v>-29738</v>
      </c>
      <c r="F2211" s="3" t="s">
        <v>263</v>
      </c>
      <c r="G2211" s="3" t="s">
        <v>20</v>
      </c>
      <c r="H2211" s="2" t="s">
        <v>36</v>
      </c>
      <c r="I2211" s="2" t="s">
        <v>5337</v>
      </c>
      <c r="J2211" s="3" t="str">
        <f>HYPERLINK("https://www.boe.es/gazeta/dias/1818/07/30/pdfs/GMD-1818-91.pdf#page=7","Abrir facsímil")</f>
        <v>Abrir facsímil</v>
      </c>
      <c r="K2211" s="3" t="s">
        <v>38</v>
      </c>
    </row>
    <row r="2212" spans="1:11" ht="42" customHeight="1">
      <c r="A2212" s="2" t="s">
        <v>5326</v>
      </c>
      <c r="B2212" s="2" t="s">
        <v>5326</v>
      </c>
      <c r="C2212" s="2" t="s">
        <v>26</v>
      </c>
      <c r="D2212" s="2" t="s">
        <v>27</v>
      </c>
      <c r="E2212" s="5">
        <v>-29724</v>
      </c>
      <c r="F2212" s="3" t="s">
        <v>370</v>
      </c>
      <c r="G2212" s="3" t="s">
        <v>29</v>
      </c>
      <c r="H2212" s="2" t="s">
        <v>36</v>
      </c>
      <c r="I2212" s="2" t="s">
        <v>5338</v>
      </c>
      <c r="J2212" s="3" t="str">
        <f>HYPERLINK("https://www.boe.es/gazeta/dias/1818/08/13/pdfs/GMD-1818-97.pdf#page=4","Abrir facsímil")</f>
        <v>Abrir facsímil</v>
      </c>
      <c r="K2212" s="3" t="s">
        <v>38</v>
      </c>
    </row>
    <row r="2213" spans="1:11" ht="42" customHeight="1">
      <c r="A2213" s="2" t="s">
        <v>5326</v>
      </c>
      <c r="B2213" s="2" t="s">
        <v>5326</v>
      </c>
      <c r="C2213" s="2" t="s">
        <v>26</v>
      </c>
      <c r="D2213" s="2" t="s">
        <v>27</v>
      </c>
      <c r="E2213" s="5">
        <v>-29715</v>
      </c>
      <c r="F2213" s="3" t="s">
        <v>208</v>
      </c>
      <c r="G2213" s="3" t="s">
        <v>29</v>
      </c>
      <c r="H2213" s="2" t="s">
        <v>36</v>
      </c>
      <c r="I2213" s="2" t="s">
        <v>5339</v>
      </c>
      <c r="J2213" s="3" t="str">
        <f>HYPERLINK("https://www.boe.es/gazeta/dias/1818/08/22/pdfs/GMD-1818-101.pdf#page=4","Abrir facsímil")</f>
        <v>Abrir facsímil</v>
      </c>
      <c r="K2213" s="3" t="s">
        <v>38</v>
      </c>
    </row>
    <row r="2214" spans="1:11" ht="42" customHeight="1">
      <c r="A2214" s="2" t="s">
        <v>5326</v>
      </c>
      <c r="B2214" s="2" t="s">
        <v>5326</v>
      </c>
      <c r="C2214" s="2" t="s">
        <v>17</v>
      </c>
      <c r="D2214" s="2" t="s">
        <v>18</v>
      </c>
      <c r="E2214" s="5">
        <v>-29715</v>
      </c>
      <c r="F2214" s="3" t="s">
        <v>208</v>
      </c>
      <c r="G2214" s="3" t="s">
        <v>106</v>
      </c>
      <c r="H2214" s="2" t="s">
        <v>36</v>
      </c>
      <c r="I2214" s="2" t="s">
        <v>5340</v>
      </c>
      <c r="J2214" s="3" t="str">
        <f>HYPERLINK("https://www.boe.es/gazeta/dias/1818/08/22/pdfs/GMD-1818-101.pdf#page=5","Abrir facsímil")</f>
        <v>Abrir facsímil</v>
      </c>
      <c r="K2214" s="3" t="s">
        <v>38</v>
      </c>
    </row>
    <row r="2215" spans="1:11" ht="42" customHeight="1">
      <c r="A2215" s="2" t="s">
        <v>5326</v>
      </c>
      <c r="B2215" s="2" t="s">
        <v>5326</v>
      </c>
      <c r="C2215" s="2" t="s">
        <v>57</v>
      </c>
      <c r="D2215" s="2" t="s">
        <v>18</v>
      </c>
      <c r="E2215" s="5">
        <v>-29703</v>
      </c>
      <c r="F2215" s="3" t="s">
        <v>294</v>
      </c>
      <c r="G2215" s="3" t="s">
        <v>45</v>
      </c>
      <c r="H2215" s="2" t="s">
        <v>36</v>
      </c>
      <c r="I2215" s="2" t="s">
        <v>5341</v>
      </c>
      <c r="J2215" s="3" t="str">
        <f>HYPERLINK("https://www.boe.es/gazeta/dias/1818/09/03/pdfs/GMD-1818-106.pdf#page=8","Abrir facsímil")</f>
        <v>Abrir facsímil</v>
      </c>
      <c r="K2215" s="3" t="s">
        <v>38</v>
      </c>
    </row>
    <row r="2216" spans="1:11" ht="42" customHeight="1">
      <c r="A2216" s="2" t="s">
        <v>5326</v>
      </c>
      <c r="B2216" s="2" t="s">
        <v>5326</v>
      </c>
      <c r="C2216" s="2" t="s">
        <v>17</v>
      </c>
      <c r="D2216" s="2" t="s">
        <v>18</v>
      </c>
      <c r="E2216" s="5">
        <v>-29696</v>
      </c>
      <c r="F2216" s="3" t="s">
        <v>1716</v>
      </c>
      <c r="G2216" s="3" t="s">
        <v>120</v>
      </c>
      <c r="H2216" s="2" t="s">
        <v>36</v>
      </c>
      <c r="I2216" s="2" t="s">
        <v>5342</v>
      </c>
      <c r="J2216" s="3" t="str">
        <f>HYPERLINK("https://www.boe.es/gazeta/dias/1818/09/10/pdfs/GMD-1818-109.pdf#page=2","Abrir facsímil")</f>
        <v>Abrir facsímil</v>
      </c>
      <c r="K2216" s="3" t="s">
        <v>38</v>
      </c>
    </row>
    <row r="2217" spans="1:11" ht="42" customHeight="1">
      <c r="A2217" s="2" t="s">
        <v>5326</v>
      </c>
      <c r="B2217" s="2" t="s">
        <v>5326</v>
      </c>
      <c r="C2217" s="2" t="s">
        <v>26</v>
      </c>
      <c r="D2217" s="2" t="s">
        <v>27</v>
      </c>
      <c r="E2217" s="5">
        <v>-29694</v>
      </c>
      <c r="F2217" s="3" t="s">
        <v>528</v>
      </c>
      <c r="G2217" s="3" t="s">
        <v>106</v>
      </c>
      <c r="H2217" s="2" t="s">
        <v>36</v>
      </c>
      <c r="I2217" s="2" t="s">
        <v>5343</v>
      </c>
      <c r="J2217" s="3" t="str">
        <f>HYPERLINK("https://www.boe.es/gazeta/dias/1818/09/12/pdfs/GMD-1818-110.pdf#page=5","Abrir facsímil")</f>
        <v>Abrir facsímil</v>
      </c>
      <c r="K2217" s="3" t="s">
        <v>38</v>
      </c>
    </row>
    <row r="2218" spans="1:11" ht="42" customHeight="1">
      <c r="A2218" s="2" t="s">
        <v>5326</v>
      </c>
      <c r="B2218" s="2" t="s">
        <v>5326</v>
      </c>
      <c r="C2218" s="2" t="s">
        <v>17</v>
      </c>
      <c r="D2218" s="2" t="s">
        <v>18</v>
      </c>
      <c r="E2218" s="5">
        <v>-29694</v>
      </c>
      <c r="F2218" s="3" t="s">
        <v>528</v>
      </c>
      <c r="G2218" s="3" t="s">
        <v>59</v>
      </c>
      <c r="H2218" s="2" t="s">
        <v>36</v>
      </c>
      <c r="I2218" s="2" t="s">
        <v>5344</v>
      </c>
      <c r="J2218" s="3" t="str">
        <f>HYPERLINK("https://www.boe.es/gazeta/dias/1818/09/12/pdfs/GMD-1818-110.pdf#page=6","Abrir facsímil")</f>
        <v>Abrir facsímil</v>
      </c>
      <c r="K2218" s="3" t="s">
        <v>38</v>
      </c>
    </row>
    <row r="2219" spans="1:11" ht="42" customHeight="1">
      <c r="A2219" s="2" t="s">
        <v>5326</v>
      </c>
      <c r="B2219" s="2" t="s">
        <v>5326</v>
      </c>
      <c r="C2219" s="2" t="s">
        <v>26</v>
      </c>
      <c r="D2219" s="2" t="s">
        <v>27</v>
      </c>
      <c r="E2219" s="5">
        <v>-29682</v>
      </c>
      <c r="F2219" s="3" t="s">
        <v>170</v>
      </c>
      <c r="G2219" s="3" t="s">
        <v>106</v>
      </c>
      <c r="H2219" s="2" t="s">
        <v>36</v>
      </c>
      <c r="I2219" s="2" t="s">
        <v>5345</v>
      </c>
      <c r="J2219" s="3" t="str">
        <f>HYPERLINK("https://www.boe.es/gazeta/dias/1818/09/24/pdfs/GMD-1818-115.pdf#page=5","Abrir facsímil")</f>
        <v>Abrir facsímil</v>
      </c>
      <c r="K2219" s="3" t="s">
        <v>38</v>
      </c>
    </row>
    <row r="2220" spans="1:11" ht="42" customHeight="1">
      <c r="A2220" s="2" t="s">
        <v>5326</v>
      </c>
      <c r="B2220" s="2" t="s">
        <v>5326</v>
      </c>
      <c r="C2220" s="2" t="s">
        <v>26</v>
      </c>
      <c r="D2220" s="2" t="s">
        <v>27</v>
      </c>
      <c r="E2220" s="5">
        <v>-29626</v>
      </c>
      <c r="F2220" s="3" t="s">
        <v>496</v>
      </c>
      <c r="G2220" s="3" t="s">
        <v>551</v>
      </c>
      <c r="H2220" s="2" t="s">
        <v>36</v>
      </c>
      <c r="I2220" s="2" t="s">
        <v>5346</v>
      </c>
      <c r="J2220" s="3" t="str">
        <f>HYPERLINK("https://www.boe.es/gazeta/dias/1818/11/19/pdfs/GMD-1818-140.pdf#page=5","Abrir facsímil")</f>
        <v>Abrir facsímil</v>
      </c>
      <c r="K2220" s="3" t="s">
        <v>38</v>
      </c>
    </row>
    <row r="2221" spans="1:11" ht="42" customHeight="1">
      <c r="A2221" s="2" t="s">
        <v>5326</v>
      </c>
      <c r="B2221" s="2" t="s">
        <v>5326</v>
      </c>
      <c r="C2221" s="2" t="s">
        <v>26</v>
      </c>
      <c r="D2221" s="2" t="s">
        <v>27</v>
      </c>
      <c r="E2221" s="5">
        <v>-29624</v>
      </c>
      <c r="F2221" s="3" t="s">
        <v>131</v>
      </c>
      <c r="G2221" s="3" t="s">
        <v>1230</v>
      </c>
      <c r="H2221" s="2" t="s">
        <v>36</v>
      </c>
      <c r="I2221" s="2" t="s">
        <v>5347</v>
      </c>
      <c r="J2221" s="3" t="str">
        <f>HYPERLINK("https://www.boe.es/gazeta/dias/1818/11/21/pdfs/GMD-1818-141.pdf#page=6","Abrir facsímil")</f>
        <v>Abrir facsímil</v>
      </c>
      <c r="K2221" s="3" t="s">
        <v>38</v>
      </c>
    </row>
    <row r="2222" spans="1:11" ht="42" customHeight="1">
      <c r="A2222" s="2" t="s">
        <v>5326</v>
      </c>
      <c r="B2222" s="2" t="s">
        <v>5326</v>
      </c>
      <c r="C2222" s="2" t="s">
        <v>57</v>
      </c>
      <c r="D2222" s="2" t="s">
        <v>18</v>
      </c>
      <c r="E2222" s="5">
        <v>-29624</v>
      </c>
      <c r="F2222" s="3" t="s">
        <v>131</v>
      </c>
      <c r="G2222" s="3" t="s">
        <v>20</v>
      </c>
      <c r="H2222" s="2" t="s">
        <v>36</v>
      </c>
      <c r="I2222" s="2" t="s">
        <v>5348</v>
      </c>
      <c r="J2222" s="3" t="str">
        <f>HYPERLINK("https://www.boe.es/gazeta/dias/1818/11/21/pdfs/GMD-1818-141.pdf#page=7","Abrir facsímil")</f>
        <v>Abrir facsímil</v>
      </c>
      <c r="K2222" s="3" t="s">
        <v>38</v>
      </c>
    </row>
    <row r="2223" spans="1:11" ht="42" customHeight="1">
      <c r="A2223" s="2" t="s">
        <v>5326</v>
      </c>
      <c r="B2223" s="2" t="s">
        <v>5326</v>
      </c>
      <c r="C2223" s="2" t="s">
        <v>26</v>
      </c>
      <c r="D2223" s="2" t="s">
        <v>27</v>
      </c>
      <c r="E2223" s="5">
        <v>-29605</v>
      </c>
      <c r="F2223" s="3" t="s">
        <v>888</v>
      </c>
      <c r="G2223" s="3" t="s">
        <v>889</v>
      </c>
      <c r="H2223" s="2" t="s">
        <v>36</v>
      </c>
      <c r="I2223" s="2" t="s">
        <v>5349</v>
      </c>
      <c r="J2223" s="3" t="str">
        <f>HYPERLINK("https://www.boe.es/gazeta/dias/1818/12/10/pdfs/GMD-1818-149.pdf#page=6","Abrir facsímil")</f>
        <v>Abrir facsímil</v>
      </c>
      <c r="K2223" s="3" t="s">
        <v>38</v>
      </c>
    </row>
    <row r="2224" spans="1:11" ht="42" customHeight="1">
      <c r="A2224" s="2" t="s">
        <v>5326</v>
      </c>
      <c r="B2224" s="2" t="s">
        <v>5326</v>
      </c>
      <c r="C2224" s="2" t="s">
        <v>26</v>
      </c>
      <c r="D2224" s="2" t="s">
        <v>27</v>
      </c>
      <c r="E2224" s="5">
        <v>-29605</v>
      </c>
      <c r="F2224" s="3" t="s">
        <v>888</v>
      </c>
      <c r="G2224" s="3" t="s">
        <v>106</v>
      </c>
      <c r="H2224" s="2" t="s">
        <v>36</v>
      </c>
      <c r="I2224" s="2" t="s">
        <v>5350</v>
      </c>
      <c r="J2224" s="3" t="str">
        <f>HYPERLINK("https://www.boe.es/gazeta/dias/1818/12/10/pdfs/GMD-1818-149.pdf#page=5","Abrir facsímil")</f>
        <v>Abrir facsímil</v>
      </c>
      <c r="K2224" s="3" t="s">
        <v>38</v>
      </c>
    </row>
    <row r="2225" spans="1:11" ht="42" customHeight="1">
      <c r="A2225" s="2" t="s">
        <v>5326</v>
      </c>
      <c r="B2225" s="2" t="s">
        <v>5326</v>
      </c>
      <c r="C2225" s="2" t="s">
        <v>26</v>
      </c>
      <c r="D2225" s="2" t="s">
        <v>27</v>
      </c>
      <c r="E2225" s="5">
        <v>-29600</v>
      </c>
      <c r="F2225" s="3" t="s">
        <v>697</v>
      </c>
      <c r="G2225" s="3" t="s">
        <v>59</v>
      </c>
      <c r="H2225" s="2" t="s">
        <v>36</v>
      </c>
      <c r="I2225" s="2" t="s">
        <v>5351</v>
      </c>
      <c r="J2225" s="3" t="str">
        <f>HYPERLINK("https://www.boe.es/gazeta/dias/1818/12/15/pdfs/GMD-1818-151.pdf#page=6","Abrir facsímil")</f>
        <v>Abrir facsímil</v>
      </c>
      <c r="K2225" s="3" t="s">
        <v>38</v>
      </c>
    </row>
    <row r="2226" spans="1:11" ht="42" customHeight="1">
      <c r="A2226" s="2" t="s">
        <v>5352</v>
      </c>
      <c r="B2226" s="2" t="s">
        <v>5353</v>
      </c>
      <c r="C2226" s="2" t="s">
        <v>26</v>
      </c>
      <c r="D2226" s="2" t="s">
        <v>27</v>
      </c>
      <c r="E2226" s="5">
        <v>-29722</v>
      </c>
      <c r="F2226" s="3" t="s">
        <v>1127</v>
      </c>
      <c r="G2226" s="3" t="s">
        <v>45</v>
      </c>
      <c r="H2226" s="2" t="s">
        <v>36</v>
      </c>
      <c r="I2226" s="2" t="s">
        <v>5354</v>
      </c>
      <c r="J2226" s="3" t="str">
        <f>HYPERLINK("https://www.boe.es/gazeta/dias/1818/08/15/pdfs/GMD-1818-98.pdf#page=8","Abrir facsímil")</f>
        <v>Abrir facsímil</v>
      </c>
      <c r="K2226" s="3" t="s">
        <v>38</v>
      </c>
    </row>
    <row r="2227" spans="1:11" ht="42" customHeight="1">
      <c r="A2227" s="2" t="s">
        <v>5355</v>
      </c>
      <c r="B2227" s="2" t="s">
        <v>5356</v>
      </c>
      <c r="C2227" s="2" t="s">
        <v>97</v>
      </c>
      <c r="D2227" s="2" t="s">
        <v>18</v>
      </c>
      <c r="E2227" s="5">
        <v>-29820</v>
      </c>
      <c r="F2227" s="3" t="s">
        <v>2971</v>
      </c>
      <c r="G2227" s="3" t="s">
        <v>20</v>
      </c>
      <c r="H2227" s="2" t="s">
        <v>36</v>
      </c>
      <c r="I2227" s="2" t="s">
        <v>5357</v>
      </c>
      <c r="J2227" s="3" t="str">
        <f>HYPERLINK("https://www.boe.es/gazeta/dias/1818/05/09/pdfs/GMD-1818-56.pdf#page=7","Abrir facsímil")</f>
        <v>Abrir facsímil</v>
      </c>
      <c r="K2227" s="3" t="s">
        <v>38</v>
      </c>
    </row>
    <row r="2228" spans="1:11" ht="42" customHeight="1">
      <c r="A2228" s="2" t="s">
        <v>5355</v>
      </c>
      <c r="B2228" s="2" t="s">
        <v>5356</v>
      </c>
      <c r="C2228" s="2" t="s">
        <v>68</v>
      </c>
      <c r="D2228" s="2" t="s">
        <v>69</v>
      </c>
      <c r="E2228" s="5">
        <v>-29712</v>
      </c>
      <c r="F2228" s="3" t="s">
        <v>1309</v>
      </c>
      <c r="G2228" s="3" t="s">
        <v>1310</v>
      </c>
      <c r="H2228" s="2" t="s">
        <v>36</v>
      </c>
      <c r="I2228" s="2" t="s">
        <v>5358</v>
      </c>
      <c r="J2228" s="3" t="str">
        <f>HYPERLINK("https://www.boe.es/gazeta/dias/1818/08/25/pdfs/GMD-1818-102.pdf#page=8","Abrir facsímil")</f>
        <v>Abrir facsímil</v>
      </c>
      <c r="K2228" s="3" t="s">
        <v>38</v>
      </c>
    </row>
    <row r="2229" spans="1:11" ht="42" customHeight="1">
      <c r="A2229" s="2" t="s">
        <v>5359</v>
      </c>
      <c r="B2229" s="2" t="s">
        <v>5360</v>
      </c>
      <c r="C2229" s="2" t="s">
        <v>17</v>
      </c>
      <c r="D2229" s="2" t="s">
        <v>18</v>
      </c>
      <c r="E2229" s="5">
        <v>-29691</v>
      </c>
      <c r="F2229" s="3" t="s">
        <v>144</v>
      </c>
      <c r="G2229" s="3" t="s">
        <v>45</v>
      </c>
      <c r="H2229" s="2" t="s">
        <v>36</v>
      </c>
      <c r="I2229" s="2" t="s">
        <v>5361</v>
      </c>
      <c r="J2229" s="3" t="str">
        <f>HYPERLINK("https://www.boe.es/gazeta/dias/1818/09/15/pdfs/GMD-1818-111.pdf#page=8","Abrir facsímil")</f>
        <v>Abrir facsímil</v>
      </c>
      <c r="K2229" s="3" t="s">
        <v>38</v>
      </c>
    </row>
    <row r="2230" spans="1:11" ht="42" customHeight="1">
      <c r="A2230" s="2" t="s">
        <v>5362</v>
      </c>
      <c r="B2230" s="2" t="s">
        <v>5363</v>
      </c>
      <c r="C2230" s="2" t="s">
        <v>17</v>
      </c>
      <c r="D2230" s="2" t="s">
        <v>18</v>
      </c>
      <c r="E2230" s="5">
        <v>-29663</v>
      </c>
      <c r="F2230" s="3" t="s">
        <v>1011</v>
      </c>
      <c r="G2230" s="3" t="s">
        <v>106</v>
      </c>
      <c r="H2230" s="2" t="s">
        <v>36</v>
      </c>
      <c r="I2230" s="2" t="s">
        <v>5364</v>
      </c>
      <c r="J2230" s="3" t="str">
        <f>HYPERLINK("https://www.boe.es/gazeta/dias/1818/10/13/pdfs/GMD-1818-123.pdf#page=5","Abrir facsímil")</f>
        <v>Abrir facsímil</v>
      </c>
      <c r="K2230" s="3" t="s">
        <v>38</v>
      </c>
    </row>
    <row r="2231" spans="1:11" ht="42" customHeight="1">
      <c r="A2231" s="2" t="s">
        <v>5365</v>
      </c>
      <c r="B2231" s="2" t="s">
        <v>5365</v>
      </c>
      <c r="C2231" s="2" t="s">
        <v>68</v>
      </c>
      <c r="D2231" s="2" t="s">
        <v>69</v>
      </c>
      <c r="E2231" s="5">
        <v>-29838</v>
      </c>
      <c r="F2231" s="3" t="s">
        <v>593</v>
      </c>
      <c r="G2231" s="3" t="s">
        <v>45</v>
      </c>
      <c r="H2231" s="2" t="s">
        <v>36</v>
      </c>
      <c r="I2231" s="2" t="s">
        <v>5366</v>
      </c>
      <c r="J2231" s="3" t="str">
        <f>HYPERLINK("https://www.boe.es/gazeta/dias/1818/04/21/pdfs/GMD-1818-48.pdf#page=8","Abrir facsímil")</f>
        <v>Abrir facsímil</v>
      </c>
      <c r="K2231" s="3" t="s">
        <v>38</v>
      </c>
    </row>
    <row r="2232" spans="1:11" ht="42" customHeight="1">
      <c r="A2232" s="2" t="s">
        <v>5367</v>
      </c>
      <c r="B2232" s="2" t="s">
        <v>5368</v>
      </c>
      <c r="C2232" s="2" t="s">
        <v>26</v>
      </c>
      <c r="D2232" s="2" t="s">
        <v>27</v>
      </c>
      <c r="E2232" s="5">
        <v>-29680</v>
      </c>
      <c r="F2232" s="3" t="s">
        <v>865</v>
      </c>
      <c r="G2232" s="3" t="s">
        <v>45</v>
      </c>
      <c r="H2232" s="2" t="s">
        <v>36</v>
      </c>
      <c r="I2232" s="2" t="s">
        <v>5369</v>
      </c>
      <c r="J2232" s="3" t="str">
        <f>HYPERLINK("https://www.boe.es/gazeta/dias/1818/09/26/pdfs/GMD-1818-116.pdf#page=8","Abrir facsímil")</f>
        <v>Abrir facsímil</v>
      </c>
      <c r="K2232" s="3" t="s">
        <v>38</v>
      </c>
    </row>
    <row r="2233" spans="1:11" ht="42" customHeight="1">
      <c r="A2233" s="2" t="s">
        <v>5370</v>
      </c>
      <c r="B2233" s="2" t="s">
        <v>5370</v>
      </c>
      <c r="C2233" s="2" t="s">
        <v>17</v>
      </c>
      <c r="D2233" s="2" t="s">
        <v>18</v>
      </c>
      <c r="E2233" s="5">
        <v>-29754</v>
      </c>
      <c r="F2233" s="3" t="s">
        <v>466</v>
      </c>
      <c r="G2233" s="3" t="s">
        <v>85</v>
      </c>
      <c r="H2233" s="2" t="s">
        <v>36</v>
      </c>
      <c r="I2233" s="2" t="s">
        <v>5371</v>
      </c>
      <c r="J2233" s="3" t="str">
        <f>HYPERLINK("https://www.boe.es/gazeta/dias/1818/07/14/pdfs/GMD-1818-84.pdf#page=3","Abrir facsímil")</f>
        <v>Abrir facsímil</v>
      </c>
      <c r="K2233" s="3" t="s">
        <v>38</v>
      </c>
    </row>
    <row r="2234" spans="1:11" ht="42" customHeight="1">
      <c r="A2234" s="2" t="s">
        <v>5372</v>
      </c>
      <c r="B2234" s="2" t="s">
        <v>5372</v>
      </c>
      <c r="C2234" s="2" t="s">
        <v>68</v>
      </c>
      <c r="D2234" s="2" t="s">
        <v>69</v>
      </c>
      <c r="E2234" s="5">
        <v>-29866</v>
      </c>
      <c r="F2234" s="3" t="s">
        <v>828</v>
      </c>
      <c r="G2234" s="3" t="s">
        <v>45</v>
      </c>
      <c r="H2234" s="2" t="s">
        <v>36</v>
      </c>
      <c r="I2234" s="2" t="s">
        <v>5373</v>
      </c>
      <c r="J2234" s="3" t="str">
        <f>HYPERLINK("https://www.boe.es/gazeta/dias/1818/03/24/pdfs/GMD-1818-36.pdf#page=8","Abrir facsímil")</f>
        <v>Abrir facsímil</v>
      </c>
      <c r="K2234" s="3" t="s">
        <v>38</v>
      </c>
    </row>
    <row r="2235" spans="1:11" ht="42" customHeight="1">
      <c r="A2235" s="2" t="s">
        <v>5374</v>
      </c>
      <c r="B2235" s="2" t="s">
        <v>5374</v>
      </c>
      <c r="C2235" s="2" t="s">
        <v>26</v>
      </c>
      <c r="D2235" s="2" t="s">
        <v>27</v>
      </c>
      <c r="E2235" s="5">
        <v>-29640</v>
      </c>
      <c r="F2235" s="3" t="s">
        <v>75</v>
      </c>
      <c r="G2235" s="3" t="s">
        <v>85</v>
      </c>
      <c r="H2235" s="2" t="s">
        <v>36</v>
      </c>
      <c r="I2235" s="2" t="s">
        <v>5375</v>
      </c>
      <c r="J2235" s="3" t="str">
        <f>HYPERLINK("https://www.boe.es/gazeta/dias/1818/11/05/pdfs/GMD-1818-134.pdf#page=3","Abrir facsímil")</f>
        <v>Abrir facsímil</v>
      </c>
      <c r="K2235" s="3" t="s">
        <v>38</v>
      </c>
    </row>
    <row r="2236" spans="1:11" ht="42" customHeight="1">
      <c r="A2236" s="2" t="s">
        <v>5376</v>
      </c>
      <c r="B2236" s="2" t="s">
        <v>5376</v>
      </c>
      <c r="C2236" s="2" t="s">
        <v>63</v>
      </c>
      <c r="D2236" s="2" t="s">
        <v>18</v>
      </c>
      <c r="E2236" s="5">
        <v>-29890</v>
      </c>
      <c r="F2236" s="3" t="s">
        <v>393</v>
      </c>
      <c r="G2236" s="3" t="s">
        <v>394</v>
      </c>
      <c r="H2236" s="2" t="s">
        <v>36</v>
      </c>
      <c r="I2236" s="2" t="s">
        <v>5377</v>
      </c>
      <c r="J2236" s="3" t="str">
        <f>HYPERLINK("https://www.boe.es/gazeta/dias/1818/02/28/pdfs/GMD-1818-26.pdf#page=8","Abrir facsímil")</f>
        <v>Abrir facsímil</v>
      </c>
      <c r="K2236" s="3" t="s">
        <v>38</v>
      </c>
    </row>
    <row r="2237" spans="1:11" ht="42" customHeight="1">
      <c r="A2237" s="2" t="s">
        <v>5378</v>
      </c>
      <c r="B2237" s="2" t="s">
        <v>5379</v>
      </c>
      <c r="C2237" s="2" t="s">
        <v>63</v>
      </c>
      <c r="D2237" s="2" t="s">
        <v>18</v>
      </c>
      <c r="E2237" s="5">
        <v>-29890</v>
      </c>
      <c r="F2237" s="3" t="s">
        <v>393</v>
      </c>
      <c r="G2237" s="3" t="s">
        <v>394</v>
      </c>
      <c r="H2237" s="2" t="s">
        <v>36</v>
      </c>
      <c r="I2237" s="2" t="s">
        <v>5380</v>
      </c>
      <c r="J2237" s="3" t="str">
        <f>HYPERLINK("https://www.boe.es/gazeta/dias/1818/02/28/pdfs/GMD-1818-26.pdf#page=8","Abrir facsímil")</f>
        <v>Abrir facsímil</v>
      </c>
      <c r="K2237" s="3" t="s">
        <v>38</v>
      </c>
    </row>
    <row r="2238" spans="1:11" ht="42" customHeight="1">
      <c r="A2238" s="2" t="s">
        <v>5381</v>
      </c>
      <c r="B2238" s="2" t="s">
        <v>5382</v>
      </c>
      <c r="C2238" s="2" t="s">
        <v>26</v>
      </c>
      <c r="D2238" s="2" t="s">
        <v>27</v>
      </c>
      <c r="E2238" s="5">
        <v>-29780</v>
      </c>
      <c r="F2238" s="3" t="s">
        <v>461</v>
      </c>
      <c r="G2238" s="3" t="s">
        <v>45</v>
      </c>
      <c r="H2238" s="2" t="s">
        <v>36</v>
      </c>
      <c r="I2238" s="2" t="s">
        <v>5383</v>
      </c>
      <c r="J2238" s="3" t="str">
        <f>HYPERLINK("https://www.boe.es/gazeta/dias/1818/06/18/pdfs/GMD-1818-73.pdf#page=8","Abrir facsímil")</f>
        <v>Abrir facsímil</v>
      </c>
      <c r="K2238" s="3" t="s">
        <v>38</v>
      </c>
    </row>
    <row r="2239" spans="1:11" ht="42" customHeight="1">
      <c r="A2239" s="2" t="s">
        <v>5384</v>
      </c>
      <c r="B2239" s="2" t="s">
        <v>5384</v>
      </c>
      <c r="C2239" s="2" t="s">
        <v>26</v>
      </c>
      <c r="D2239" s="2" t="s">
        <v>27</v>
      </c>
      <c r="E2239" s="5">
        <v>-29731</v>
      </c>
      <c r="F2239" s="3" t="s">
        <v>299</v>
      </c>
      <c r="G2239" s="3" t="s">
        <v>59</v>
      </c>
      <c r="H2239" s="2" t="s">
        <v>36</v>
      </c>
      <c r="I2239" s="2" t="s">
        <v>5385</v>
      </c>
      <c r="J2239" s="3" t="str">
        <f>HYPERLINK("https://www.boe.es/gazeta/dias/1818/08/06/pdfs/GMD-1818-94.pdf#page=6","Abrir facsímil")</f>
        <v>Abrir facsímil</v>
      </c>
      <c r="K2239" s="3" t="s">
        <v>38</v>
      </c>
    </row>
    <row r="2240" spans="1:11" ht="42" customHeight="1">
      <c r="A2240" s="2" t="s">
        <v>5386</v>
      </c>
      <c r="B2240" s="2" t="s">
        <v>5386</v>
      </c>
      <c r="C2240" s="2" t="s">
        <v>26</v>
      </c>
      <c r="D2240" s="2" t="s">
        <v>27</v>
      </c>
      <c r="E2240" s="5">
        <v>-29904</v>
      </c>
      <c r="F2240" s="3" t="s">
        <v>451</v>
      </c>
      <c r="G2240" s="3" t="s">
        <v>45</v>
      </c>
      <c r="H2240" s="2" t="s">
        <v>36</v>
      </c>
      <c r="I2240" s="2" t="s">
        <v>5387</v>
      </c>
      <c r="J2240" s="3" t="str">
        <f>HYPERLINK("https://www.boe.es/gazeta/dias/1818/02/14/pdfs/GMD-1818-20.pdf#page=8","Abrir facsímil")</f>
        <v>Abrir facsímil</v>
      </c>
      <c r="K2240" s="3" t="s">
        <v>38</v>
      </c>
    </row>
    <row r="2241" spans="1:11" ht="42" customHeight="1">
      <c r="A2241" s="2" t="s">
        <v>5388</v>
      </c>
      <c r="B2241" s="2" t="s">
        <v>5388</v>
      </c>
      <c r="C2241" s="2" t="s">
        <v>26</v>
      </c>
      <c r="D2241" s="2" t="s">
        <v>27</v>
      </c>
      <c r="E2241" s="5">
        <v>-29946</v>
      </c>
      <c r="F2241" s="3" t="s">
        <v>724</v>
      </c>
      <c r="G2241" s="3" t="s">
        <v>29</v>
      </c>
      <c r="H2241" s="2" t="s">
        <v>36</v>
      </c>
      <c r="I2241" s="2" t="s">
        <v>5389</v>
      </c>
      <c r="J2241" s="3" t="str">
        <f>HYPERLINK("https://www.boe.es/gazeta/dias/1818/01/03/pdfs/GMD-1818-2.pdf#page=4","Abrir facsímil")</f>
        <v>Abrir facsímil</v>
      </c>
      <c r="K2241" s="3" t="s">
        <v>38</v>
      </c>
    </row>
    <row r="2242" spans="1:11" ht="42" customHeight="1">
      <c r="A2242" s="2" t="s">
        <v>5388</v>
      </c>
      <c r="B2242" s="2" t="s">
        <v>5388</v>
      </c>
      <c r="C2242" s="2" t="s">
        <v>63</v>
      </c>
      <c r="D2242" s="2" t="s">
        <v>18</v>
      </c>
      <c r="E2242" s="5">
        <v>-29925</v>
      </c>
      <c r="F2242" s="3" t="s">
        <v>447</v>
      </c>
      <c r="G2242" s="3" t="s">
        <v>45</v>
      </c>
      <c r="H2242" s="2" t="s">
        <v>36</v>
      </c>
      <c r="I2242" s="2" t="s">
        <v>5390</v>
      </c>
      <c r="J2242" s="3" t="str">
        <f>HYPERLINK("https://www.boe.es/gazeta/dias/1818/01/24/pdfs/GMD-1818-11.pdf#page=8","Abrir facsímil")</f>
        <v>Abrir facsímil</v>
      </c>
      <c r="K2242" s="3" t="s">
        <v>38</v>
      </c>
    </row>
    <row r="2243" spans="1:11" ht="42" customHeight="1">
      <c r="A2243" s="2" t="s">
        <v>5388</v>
      </c>
      <c r="B2243" s="2" t="s">
        <v>5388</v>
      </c>
      <c r="C2243" s="2" t="s">
        <v>26</v>
      </c>
      <c r="D2243" s="2" t="s">
        <v>27</v>
      </c>
      <c r="E2243" s="5">
        <v>-29855</v>
      </c>
      <c r="F2243" s="3" t="s">
        <v>676</v>
      </c>
      <c r="G2243" s="3" t="s">
        <v>106</v>
      </c>
      <c r="H2243" s="2" t="s">
        <v>36</v>
      </c>
      <c r="I2243" s="2" t="s">
        <v>5391</v>
      </c>
      <c r="J2243" s="3" t="str">
        <f>HYPERLINK("https://www.boe.es/gazeta/dias/1818/04/04/pdfs/GMD-1818-41.pdf#page=5","Abrir facsímil")</f>
        <v>Abrir facsímil</v>
      </c>
      <c r="K2243" s="3" t="s">
        <v>38</v>
      </c>
    </row>
    <row r="2244" spans="1:11" ht="42" customHeight="1">
      <c r="A2244" s="2" t="s">
        <v>5388</v>
      </c>
      <c r="B2244" s="2" t="s">
        <v>5388</v>
      </c>
      <c r="C2244" s="2" t="s">
        <v>26</v>
      </c>
      <c r="D2244" s="2" t="s">
        <v>27</v>
      </c>
      <c r="E2244" s="5">
        <v>-29829</v>
      </c>
      <c r="F2244" s="3" t="s">
        <v>44</v>
      </c>
      <c r="G2244" s="3" t="s">
        <v>45</v>
      </c>
      <c r="H2244" s="2" t="s">
        <v>36</v>
      </c>
      <c r="I2244" s="2" t="s">
        <v>5392</v>
      </c>
      <c r="J2244" s="3" t="str">
        <f>HYPERLINK("https://www.boe.es/gazeta/dias/1818/04/30/pdfs/GMD-1818-52.pdf#page=8","Abrir facsímil")</f>
        <v>Abrir facsímil</v>
      </c>
      <c r="K2244" s="3" t="s">
        <v>38</v>
      </c>
    </row>
    <row r="2245" spans="1:11" ht="42" customHeight="1">
      <c r="A2245" s="2" t="s">
        <v>5388</v>
      </c>
      <c r="B2245" s="2" t="s">
        <v>5388</v>
      </c>
      <c r="C2245" s="2" t="s">
        <v>17</v>
      </c>
      <c r="D2245" s="2" t="s">
        <v>18</v>
      </c>
      <c r="E2245" s="5">
        <v>-29824</v>
      </c>
      <c r="F2245" s="3" t="s">
        <v>101</v>
      </c>
      <c r="G2245" s="3" t="s">
        <v>20</v>
      </c>
      <c r="H2245" s="2" t="s">
        <v>36</v>
      </c>
      <c r="I2245" s="2" t="s">
        <v>5393</v>
      </c>
      <c r="J2245" s="3" t="str">
        <f>HYPERLINK("https://www.boe.es/gazeta/dias/1818/05/05/pdfs/GMD-1818-54.pdf#page=7","Abrir facsímil")</f>
        <v>Abrir facsímil</v>
      </c>
      <c r="K2245" s="3" t="s">
        <v>38</v>
      </c>
    </row>
    <row r="2246" spans="1:11" ht="42" customHeight="1">
      <c r="A2246" s="2" t="s">
        <v>5388</v>
      </c>
      <c r="B2246" s="2" t="s">
        <v>5388</v>
      </c>
      <c r="C2246" s="2" t="s">
        <v>33</v>
      </c>
      <c r="D2246" s="2" t="s">
        <v>18</v>
      </c>
      <c r="E2246" s="5">
        <v>-29808</v>
      </c>
      <c r="F2246" s="3" t="s">
        <v>80</v>
      </c>
      <c r="G2246" s="3" t="s">
        <v>20</v>
      </c>
      <c r="H2246" s="2" t="s">
        <v>36</v>
      </c>
      <c r="I2246" s="2" t="s">
        <v>5394</v>
      </c>
      <c r="J2246" s="3" t="str">
        <f>HYPERLINK("https://www.boe.es/gazeta/dias/1818/05/21/pdfs/GMD-1818-61.pdf#page=7","Abrir facsímil")</f>
        <v>Abrir facsímil</v>
      </c>
      <c r="K2246" s="3" t="s">
        <v>38</v>
      </c>
    </row>
    <row r="2247" spans="1:11" ht="42" customHeight="1">
      <c r="A2247" s="2" t="s">
        <v>5388</v>
      </c>
      <c r="B2247" s="2" t="s">
        <v>5388</v>
      </c>
      <c r="C2247" s="2" t="s">
        <v>26</v>
      </c>
      <c r="D2247" s="2" t="s">
        <v>27</v>
      </c>
      <c r="E2247" s="5">
        <v>-29806</v>
      </c>
      <c r="F2247" s="3" t="s">
        <v>84</v>
      </c>
      <c r="G2247" s="3" t="s">
        <v>45</v>
      </c>
      <c r="H2247" s="2" t="s">
        <v>36</v>
      </c>
      <c r="I2247" s="2" t="s">
        <v>5395</v>
      </c>
      <c r="J2247" s="3" t="str">
        <f>HYPERLINK("https://www.boe.es/gazeta/dias/1818/05/23/pdfs/GMD-1818-62.pdf#page=8","Abrir facsímil")</f>
        <v>Abrir facsímil</v>
      </c>
      <c r="K2247" s="3" t="s">
        <v>38</v>
      </c>
    </row>
    <row r="2248" spans="1:11" ht="42" customHeight="1">
      <c r="A2248" s="2" t="s">
        <v>5388</v>
      </c>
      <c r="B2248" s="2" t="s">
        <v>5388</v>
      </c>
      <c r="C2248" s="2" t="s">
        <v>63</v>
      </c>
      <c r="D2248" s="2" t="s">
        <v>18</v>
      </c>
      <c r="E2248" s="5">
        <v>-29729</v>
      </c>
      <c r="F2248" s="3" t="s">
        <v>488</v>
      </c>
      <c r="G2248" s="3" t="s">
        <v>489</v>
      </c>
      <c r="H2248" s="2" t="s">
        <v>36</v>
      </c>
      <c r="I2248" s="2" t="s">
        <v>5396</v>
      </c>
      <c r="J2248" s="3" t="str">
        <f>HYPERLINK("https://www.boe.es/gazeta/dias/1818/08/08/pdfs/GMD-1818-95.pdf#page=8","Abrir facsímil")</f>
        <v>Abrir facsímil</v>
      </c>
      <c r="K2248" s="3" t="s">
        <v>38</v>
      </c>
    </row>
    <row r="2249" spans="1:11" ht="42" customHeight="1">
      <c r="A2249" s="2" t="s">
        <v>5388</v>
      </c>
      <c r="B2249" s="2" t="s">
        <v>5388</v>
      </c>
      <c r="C2249" s="2" t="s">
        <v>26</v>
      </c>
      <c r="D2249" s="2" t="s">
        <v>27</v>
      </c>
      <c r="E2249" s="5">
        <v>-29719</v>
      </c>
      <c r="F2249" s="3" t="s">
        <v>243</v>
      </c>
      <c r="G2249" s="3" t="s">
        <v>111</v>
      </c>
      <c r="H2249" s="2" t="s">
        <v>36</v>
      </c>
      <c r="I2249" s="2" t="s">
        <v>5397</v>
      </c>
      <c r="J2249" s="3" t="str">
        <f>HYPERLINK("https://www.boe.es/gazeta/dias/1818/08/18/pdfs/GMD-1818-99.pdf#page=11","Abrir facsímil")</f>
        <v>Abrir facsímil</v>
      </c>
      <c r="K2249" s="3" t="s">
        <v>38</v>
      </c>
    </row>
    <row r="2250" spans="1:11" ht="42" customHeight="1">
      <c r="A2250" s="2" t="s">
        <v>5388</v>
      </c>
      <c r="B2250" s="2" t="s">
        <v>5388</v>
      </c>
      <c r="C2250" s="2" t="s">
        <v>26</v>
      </c>
      <c r="D2250" s="2" t="s">
        <v>27</v>
      </c>
      <c r="E2250" s="5">
        <v>-29705</v>
      </c>
      <c r="F2250" s="3" t="s">
        <v>680</v>
      </c>
      <c r="G2250" s="3" t="s">
        <v>29</v>
      </c>
      <c r="H2250" s="2" t="s">
        <v>36</v>
      </c>
      <c r="I2250" s="2" t="s">
        <v>5398</v>
      </c>
      <c r="J2250" s="3" t="str">
        <f>HYPERLINK("https://www.boe.es/gazeta/dias/1818/09/01/pdfs/GMD-1818-105.pdf#page=4","Abrir facsímil")</f>
        <v>Abrir facsímil</v>
      </c>
      <c r="K2250" s="3" t="s">
        <v>38</v>
      </c>
    </row>
    <row r="2251" spans="1:11" ht="42" customHeight="1">
      <c r="A2251" s="2" t="s">
        <v>5388</v>
      </c>
      <c r="B2251" s="2" t="s">
        <v>5388</v>
      </c>
      <c r="C2251" s="2" t="s">
        <v>33</v>
      </c>
      <c r="D2251" s="2" t="s">
        <v>18</v>
      </c>
      <c r="E2251" s="5">
        <v>-29698</v>
      </c>
      <c r="F2251" s="3" t="s">
        <v>148</v>
      </c>
      <c r="G2251" s="3" t="s">
        <v>29</v>
      </c>
      <c r="H2251" s="2" t="s">
        <v>36</v>
      </c>
      <c r="I2251" s="2" t="s">
        <v>5399</v>
      </c>
      <c r="J2251" s="3" t="str">
        <f>HYPERLINK("https://www.boe.es/gazeta/dias/1818/09/08/pdfs/GMD-1818-108.pdf#page=4","Abrir facsímil")</f>
        <v>Abrir facsímil</v>
      </c>
      <c r="K2251" s="3" t="s">
        <v>38</v>
      </c>
    </row>
    <row r="2252" spans="1:11" ht="42" customHeight="1">
      <c r="A2252" s="2" t="s">
        <v>5388</v>
      </c>
      <c r="B2252" s="2" t="s">
        <v>5388</v>
      </c>
      <c r="C2252" s="2" t="s">
        <v>26</v>
      </c>
      <c r="D2252" s="2" t="s">
        <v>27</v>
      </c>
      <c r="E2252" s="5">
        <v>-29647</v>
      </c>
      <c r="F2252" s="3" t="s">
        <v>1547</v>
      </c>
      <c r="G2252" s="3" t="s">
        <v>45</v>
      </c>
      <c r="H2252" s="2" t="s">
        <v>36</v>
      </c>
      <c r="I2252" s="2" t="s">
        <v>5400</v>
      </c>
      <c r="J2252" s="3" t="str">
        <f>HYPERLINK("https://www.boe.es/gazeta/dias/1818/10/29/pdfs/GMD-1818-131.pdf#page=8","Abrir facsímil")</f>
        <v>Abrir facsímil</v>
      </c>
      <c r="K2252" s="3" t="s">
        <v>38</v>
      </c>
    </row>
    <row r="2253" spans="1:11" ht="42" customHeight="1">
      <c r="A2253" s="2" t="s">
        <v>5388</v>
      </c>
      <c r="B2253" s="2" t="s">
        <v>5388</v>
      </c>
      <c r="C2253" s="2" t="s">
        <v>68</v>
      </c>
      <c r="D2253" s="2" t="s">
        <v>69</v>
      </c>
      <c r="E2253" s="5">
        <v>-29626</v>
      </c>
      <c r="F2253" s="3" t="s">
        <v>496</v>
      </c>
      <c r="G2253" s="3" t="s">
        <v>45</v>
      </c>
      <c r="H2253" s="2" t="s">
        <v>36</v>
      </c>
      <c r="I2253" s="2" t="s">
        <v>5401</v>
      </c>
      <c r="J2253" s="3" t="str">
        <f>HYPERLINK("https://www.boe.es/gazeta/dias/1818/11/19/pdfs/GMD-1818-140.pdf#page=8","Abrir facsímil")</f>
        <v>Abrir facsímil</v>
      </c>
      <c r="K2253" s="3" t="s">
        <v>38</v>
      </c>
    </row>
    <row r="2254" spans="1:11" ht="42" customHeight="1">
      <c r="A2254" s="2" t="s">
        <v>5388</v>
      </c>
      <c r="B2254" s="2" t="s">
        <v>5388</v>
      </c>
      <c r="C2254" s="2" t="s">
        <v>97</v>
      </c>
      <c r="D2254" s="2" t="s">
        <v>18</v>
      </c>
      <c r="E2254" s="5">
        <v>-29596</v>
      </c>
      <c r="F2254" s="3" t="s">
        <v>555</v>
      </c>
      <c r="G2254" s="3" t="s">
        <v>20</v>
      </c>
      <c r="H2254" s="2" t="s">
        <v>36</v>
      </c>
      <c r="I2254" s="2" t="s">
        <v>5402</v>
      </c>
      <c r="J2254" s="3" t="str">
        <f>HYPERLINK("https://www.boe.es/gazeta/dias/1818/12/19/pdfs/GMD-1818-153.pdf#page=7","Abrir facsímil")</f>
        <v>Abrir facsímil</v>
      </c>
      <c r="K2254" s="3" t="s">
        <v>38</v>
      </c>
    </row>
    <row r="2255" spans="1:11" ht="42" customHeight="1">
      <c r="A2255" s="2" t="s">
        <v>5403</v>
      </c>
      <c r="B2255" s="2" t="s">
        <v>5404</v>
      </c>
      <c r="C2255" s="2" t="s">
        <v>68</v>
      </c>
      <c r="D2255" s="2" t="s">
        <v>69</v>
      </c>
      <c r="E2255" s="5">
        <v>-29729</v>
      </c>
      <c r="F2255" s="3" t="s">
        <v>488</v>
      </c>
      <c r="G2255" s="3" t="s">
        <v>20</v>
      </c>
      <c r="H2255" s="2" t="s">
        <v>36</v>
      </c>
      <c r="I2255" s="2" t="s">
        <v>5405</v>
      </c>
      <c r="J2255" s="3" t="str">
        <f>HYPERLINK("https://www.boe.es/gazeta/dias/1818/08/08/pdfs/GMD-1818-95.pdf#page=7","Abrir facsímil")</f>
        <v>Abrir facsímil</v>
      </c>
      <c r="K2255" s="3" t="s">
        <v>38</v>
      </c>
    </row>
    <row r="2256" spans="1:11" ht="42" customHeight="1">
      <c r="A2256" s="2" t="s">
        <v>5406</v>
      </c>
      <c r="B2256" s="2" t="s">
        <v>5406</v>
      </c>
      <c r="C2256" s="2" t="s">
        <v>26</v>
      </c>
      <c r="D2256" s="2" t="s">
        <v>27</v>
      </c>
      <c r="E2256" s="5">
        <v>-29901</v>
      </c>
      <c r="F2256" s="3" t="s">
        <v>417</v>
      </c>
      <c r="G2256" s="3" t="s">
        <v>45</v>
      </c>
      <c r="H2256" s="2" t="s">
        <v>36</v>
      </c>
      <c r="I2256" s="2" t="s">
        <v>5407</v>
      </c>
      <c r="J2256" s="3" t="str">
        <f>HYPERLINK("https://www.boe.es/gazeta/dias/1818/02/17/pdfs/GMD-1818-21.pdf#page=8","Abrir facsímil")</f>
        <v>Abrir facsímil</v>
      </c>
      <c r="K2256" s="3" t="s">
        <v>38</v>
      </c>
    </row>
    <row r="2257" spans="1:11" ht="42" customHeight="1">
      <c r="A2257" s="2" t="s">
        <v>5408</v>
      </c>
      <c r="B2257" s="2" t="s">
        <v>5408</v>
      </c>
      <c r="C2257" s="2" t="s">
        <v>68</v>
      </c>
      <c r="D2257" s="2" t="s">
        <v>69</v>
      </c>
      <c r="E2257" s="5">
        <v>-29834</v>
      </c>
      <c r="F2257" s="3" t="s">
        <v>457</v>
      </c>
      <c r="G2257" s="3" t="s">
        <v>458</v>
      </c>
      <c r="H2257" s="2" t="s">
        <v>36</v>
      </c>
      <c r="I2257" s="2" t="s">
        <v>5409</v>
      </c>
      <c r="J2257" s="3" t="str">
        <f>HYPERLINK("https://www.boe.es/gazeta/dias/1818/04/25/pdfs/GMD-1818-50.pdf#page=8","Abrir facsímil")</f>
        <v>Abrir facsímil</v>
      </c>
      <c r="K2257" s="3" t="s">
        <v>38</v>
      </c>
    </row>
    <row r="2258" spans="1:11" ht="42" customHeight="1">
      <c r="A2258" s="2" t="s">
        <v>5408</v>
      </c>
      <c r="B2258" s="2" t="s">
        <v>5408</v>
      </c>
      <c r="C2258" s="2" t="s">
        <v>26</v>
      </c>
      <c r="D2258" s="2" t="s">
        <v>27</v>
      </c>
      <c r="E2258" s="5">
        <v>-29649</v>
      </c>
      <c r="F2258" s="3" t="s">
        <v>585</v>
      </c>
      <c r="G2258" s="3" t="s">
        <v>59</v>
      </c>
      <c r="H2258" s="2" t="s">
        <v>36</v>
      </c>
      <c r="I2258" s="2" t="s">
        <v>5410</v>
      </c>
      <c r="J2258" s="3" t="str">
        <f>HYPERLINK("https://www.boe.es/gazeta/dias/1818/10/27/pdfs/GMD-1818-130.pdf#page=6","Abrir facsímil")</f>
        <v>Abrir facsímil</v>
      </c>
      <c r="K2258" s="3" t="s">
        <v>38</v>
      </c>
    </row>
    <row r="2259" spans="1:11" ht="42" customHeight="1">
      <c r="A2259" s="2" t="s">
        <v>5411</v>
      </c>
      <c r="B2259" s="2" t="s">
        <v>5411</v>
      </c>
      <c r="C2259" s="2" t="s">
        <v>26</v>
      </c>
      <c r="D2259" s="2" t="s">
        <v>27</v>
      </c>
      <c r="E2259" s="5">
        <v>-29815</v>
      </c>
      <c r="F2259" s="3" t="s">
        <v>2169</v>
      </c>
      <c r="G2259" s="3" t="s">
        <v>20</v>
      </c>
      <c r="H2259" s="2" t="s">
        <v>36</v>
      </c>
      <c r="I2259" s="2" t="s">
        <v>5412</v>
      </c>
      <c r="J2259" s="3" t="str">
        <f>HYPERLINK("https://www.boe.es/gazeta/dias/1818/05/14/pdfs/GMD-1818-58.pdf#page=7","Abrir facsímil")</f>
        <v>Abrir facsímil</v>
      </c>
      <c r="K2259" s="3" t="s">
        <v>38</v>
      </c>
    </row>
    <row r="2260" spans="1:11" ht="42" customHeight="1">
      <c r="A2260" s="2" t="s">
        <v>5413</v>
      </c>
      <c r="B2260" s="2" t="s">
        <v>5413</v>
      </c>
      <c r="C2260" s="2" t="s">
        <v>17</v>
      </c>
      <c r="D2260" s="2" t="s">
        <v>18</v>
      </c>
      <c r="E2260" s="5">
        <v>-29687</v>
      </c>
      <c r="F2260" s="3" t="s">
        <v>686</v>
      </c>
      <c r="G2260" s="3" t="s">
        <v>29</v>
      </c>
      <c r="H2260" s="2" t="s">
        <v>36</v>
      </c>
      <c r="I2260" s="2" t="s">
        <v>5414</v>
      </c>
      <c r="J2260" s="3" t="str">
        <f>HYPERLINK("https://www.boe.es/gazeta/dias/1818/09/19/pdfs/GMD-1818-113.pdf#page=4","Abrir facsímil")</f>
        <v>Abrir facsímil</v>
      </c>
      <c r="K2260" s="3" t="s">
        <v>38</v>
      </c>
    </row>
    <row r="2261" spans="1:11" ht="42" customHeight="1">
      <c r="A2261" s="2" t="s">
        <v>5415</v>
      </c>
      <c r="B2261" s="2" t="s">
        <v>5416</v>
      </c>
      <c r="C2261" s="2" t="s">
        <v>26</v>
      </c>
      <c r="D2261" s="2" t="s">
        <v>27</v>
      </c>
      <c r="E2261" s="5">
        <v>-29614</v>
      </c>
      <c r="F2261" s="3" t="s">
        <v>620</v>
      </c>
      <c r="G2261" s="3" t="s">
        <v>963</v>
      </c>
      <c r="H2261" s="2" t="s">
        <v>36</v>
      </c>
      <c r="I2261" s="2" t="s">
        <v>5417</v>
      </c>
      <c r="J2261" s="3" t="str">
        <f>HYPERLINK("https://www.boe.es/gazeta/dias/1818/12/01/pdfs/GMD-1818-145.pdf#page=4","Abrir facsímil")</f>
        <v>Abrir facsímil</v>
      </c>
      <c r="K2261" s="3" t="s">
        <v>38</v>
      </c>
    </row>
    <row r="2262" spans="1:11" ht="42" customHeight="1">
      <c r="A2262" s="2" t="s">
        <v>5418</v>
      </c>
      <c r="B2262" s="2" t="s">
        <v>5419</v>
      </c>
      <c r="C2262" s="2" t="s">
        <v>26</v>
      </c>
      <c r="D2262" s="2" t="s">
        <v>27</v>
      </c>
      <c r="E2262" s="5">
        <v>-29687</v>
      </c>
      <c r="F2262" s="3" t="s">
        <v>686</v>
      </c>
      <c r="G2262" s="3" t="s">
        <v>29</v>
      </c>
      <c r="H2262" s="2" t="s">
        <v>36</v>
      </c>
      <c r="I2262" s="2" t="s">
        <v>5420</v>
      </c>
      <c r="J2262" s="3" t="str">
        <f>HYPERLINK("https://www.boe.es/gazeta/dias/1818/09/19/pdfs/GMD-1818-113.pdf#page=4","Abrir facsímil")</f>
        <v>Abrir facsímil</v>
      </c>
      <c r="K2262" s="3" t="s">
        <v>38</v>
      </c>
    </row>
    <row r="2263" spans="1:11" ht="42" customHeight="1">
      <c r="A2263" s="2" t="s">
        <v>5421</v>
      </c>
      <c r="B2263" s="2" t="s">
        <v>5422</v>
      </c>
      <c r="C2263" s="2" t="s">
        <v>26</v>
      </c>
      <c r="D2263" s="2" t="s">
        <v>27</v>
      </c>
      <c r="E2263" s="5">
        <v>-29897</v>
      </c>
      <c r="F2263" s="3" t="s">
        <v>318</v>
      </c>
      <c r="G2263" s="3" t="s">
        <v>106</v>
      </c>
      <c r="H2263" s="2" t="s">
        <v>36</v>
      </c>
      <c r="I2263" s="2" t="s">
        <v>5423</v>
      </c>
      <c r="J2263" s="3" t="str">
        <f>HYPERLINK("https://www.boe.es/gazeta/dias/1818/02/21/pdfs/GMD-1818-23.pdf#page=5","Abrir facsímil")</f>
        <v>Abrir facsímil</v>
      </c>
      <c r="K2263" s="3" t="s">
        <v>38</v>
      </c>
    </row>
    <row r="2264" spans="1:11" ht="42" customHeight="1">
      <c r="A2264" s="2" t="s">
        <v>5424</v>
      </c>
      <c r="B2264" s="2" t="s">
        <v>5424</v>
      </c>
      <c r="C2264" s="2" t="s">
        <v>26</v>
      </c>
      <c r="D2264" s="2" t="s">
        <v>27</v>
      </c>
      <c r="E2264" s="5">
        <v>-29764</v>
      </c>
      <c r="F2264" s="3" t="s">
        <v>464</v>
      </c>
      <c r="G2264" s="3" t="s">
        <v>106</v>
      </c>
      <c r="H2264" s="2" t="s">
        <v>36</v>
      </c>
      <c r="I2264" s="2" t="s">
        <v>5425</v>
      </c>
      <c r="J2264" s="3" t="str">
        <f>HYPERLINK("https://www.boe.es/gazeta/dias/1818/07/04/pdfs/GMD-1818-80.pdf#page=5","Abrir facsímil")</f>
        <v>Abrir facsímil</v>
      </c>
      <c r="K2264" s="3" t="s">
        <v>38</v>
      </c>
    </row>
    <row r="2265" spans="1:11" ht="42" customHeight="1">
      <c r="A2265" s="2" t="s">
        <v>5426</v>
      </c>
      <c r="B2265" s="2" t="s">
        <v>5427</v>
      </c>
      <c r="C2265" s="2" t="s">
        <v>26</v>
      </c>
      <c r="D2265" s="2" t="s">
        <v>27</v>
      </c>
      <c r="E2265" s="5">
        <v>-29764</v>
      </c>
      <c r="F2265" s="3" t="s">
        <v>464</v>
      </c>
      <c r="G2265" s="3" t="s">
        <v>106</v>
      </c>
      <c r="H2265" s="2" t="s">
        <v>36</v>
      </c>
      <c r="I2265" s="2" t="s">
        <v>5428</v>
      </c>
      <c r="J2265" s="3" t="str">
        <f>HYPERLINK("https://www.boe.es/gazeta/dias/1818/07/04/pdfs/GMD-1818-80.pdf#page=5","Abrir facsímil")</f>
        <v>Abrir facsímil</v>
      </c>
      <c r="K2265" s="3" t="s">
        <v>38</v>
      </c>
    </row>
    <row r="2266" spans="1:11" ht="42" customHeight="1">
      <c r="A2266" s="2" t="s">
        <v>5429</v>
      </c>
      <c r="B2266" s="2" t="s">
        <v>5430</v>
      </c>
      <c r="C2266" s="2" t="s">
        <v>17</v>
      </c>
      <c r="D2266" s="2" t="s">
        <v>18</v>
      </c>
      <c r="E2266" s="5">
        <v>-29603</v>
      </c>
      <c r="F2266" s="3" t="s">
        <v>647</v>
      </c>
      <c r="G2266" s="3" t="s">
        <v>2387</v>
      </c>
      <c r="H2266" s="2" t="s">
        <v>21</v>
      </c>
      <c r="I2266" s="2" t="s">
        <v>5431</v>
      </c>
      <c r="J2266" s="3" t="str">
        <f>HYPERLINK("https://www.boe.es/gazeta/dias/1818/12/12/pdfs/GMD-1818-150.pdf#page=7","Abrir facsímil")</f>
        <v>Abrir facsímil</v>
      </c>
      <c r="K2266" s="3" t="s">
        <v>23</v>
      </c>
    </row>
    <row r="2267" spans="1:11" ht="42" customHeight="1">
      <c r="A2267" s="2" t="s">
        <v>5432</v>
      </c>
      <c r="B2267" s="2" t="s">
        <v>5432</v>
      </c>
      <c r="C2267" s="2" t="s">
        <v>68</v>
      </c>
      <c r="D2267" s="2" t="s">
        <v>69</v>
      </c>
      <c r="E2267" s="5">
        <v>-29897</v>
      </c>
      <c r="F2267" s="3" t="s">
        <v>318</v>
      </c>
      <c r="G2267" s="3" t="s">
        <v>45</v>
      </c>
      <c r="H2267" s="2" t="s">
        <v>36</v>
      </c>
      <c r="I2267" s="2" t="s">
        <v>5433</v>
      </c>
      <c r="J2267" s="3" t="str">
        <f>HYPERLINK("https://www.boe.es/gazeta/dias/1818/02/21/pdfs/GMD-1818-23.pdf#page=8","Abrir facsímil")</f>
        <v>Abrir facsímil</v>
      </c>
      <c r="K2267" s="3" t="s">
        <v>38</v>
      </c>
    </row>
    <row r="2268" spans="1:11" ht="42" customHeight="1">
      <c r="A2268" s="2" t="s">
        <v>5432</v>
      </c>
      <c r="B2268" s="2" t="s">
        <v>5432</v>
      </c>
      <c r="C2268" s="2" t="s">
        <v>26</v>
      </c>
      <c r="D2268" s="2" t="s">
        <v>27</v>
      </c>
      <c r="E2268" s="5">
        <v>-29806</v>
      </c>
      <c r="F2268" s="3" t="s">
        <v>84</v>
      </c>
      <c r="G2268" s="3" t="s">
        <v>45</v>
      </c>
      <c r="H2268" s="2" t="s">
        <v>36</v>
      </c>
      <c r="I2268" s="2" t="s">
        <v>5434</v>
      </c>
      <c r="J2268" s="3" t="str">
        <f>HYPERLINK("https://www.boe.es/gazeta/dias/1818/05/23/pdfs/GMD-1818-62.pdf#page=8","Abrir facsímil")</f>
        <v>Abrir facsímil</v>
      </c>
      <c r="K2268" s="3" t="s">
        <v>38</v>
      </c>
    </row>
    <row r="2269" spans="1:11" ht="42" customHeight="1">
      <c r="A2269" s="2" t="s">
        <v>5435</v>
      </c>
      <c r="B2269" s="2" t="s">
        <v>5436</v>
      </c>
      <c r="C2269" s="2" t="s">
        <v>68</v>
      </c>
      <c r="D2269" s="2" t="s">
        <v>69</v>
      </c>
      <c r="E2269" s="5">
        <v>-29729</v>
      </c>
      <c r="F2269" s="3" t="s">
        <v>488</v>
      </c>
      <c r="G2269" s="3" t="s">
        <v>489</v>
      </c>
      <c r="H2269" s="2" t="s">
        <v>36</v>
      </c>
      <c r="I2269" s="2" t="s">
        <v>5437</v>
      </c>
      <c r="J2269" s="3" t="str">
        <f>HYPERLINK("https://www.boe.es/gazeta/dias/1818/08/08/pdfs/GMD-1818-95.pdf#page=8","Abrir facsímil")</f>
        <v>Abrir facsímil</v>
      </c>
      <c r="K2269" s="3" t="s">
        <v>38</v>
      </c>
    </row>
    <row r="2270" spans="1:11" ht="42" customHeight="1">
      <c r="A2270" s="2" t="s">
        <v>5438</v>
      </c>
      <c r="B2270" s="2" t="s">
        <v>5439</v>
      </c>
      <c r="C2270" s="2" t="s">
        <v>26</v>
      </c>
      <c r="D2270" s="2" t="s">
        <v>27</v>
      </c>
      <c r="E2270" s="5">
        <v>-29803</v>
      </c>
      <c r="F2270" s="3" t="s">
        <v>1393</v>
      </c>
      <c r="G2270" s="3" t="s">
        <v>85</v>
      </c>
      <c r="H2270" s="2" t="s">
        <v>36</v>
      </c>
      <c r="I2270" s="2" t="s">
        <v>5440</v>
      </c>
      <c r="J2270" s="3" t="str">
        <f>HYPERLINK("https://www.boe.es/gazeta/dias/1818/05/26/pdfs/GMD-1818-63.pdf#page=3","Abrir facsímil")</f>
        <v>Abrir facsímil</v>
      </c>
      <c r="K2270" s="3" t="s">
        <v>38</v>
      </c>
    </row>
    <row r="2271" spans="1:11" ht="42" customHeight="1">
      <c r="A2271" s="2" t="s">
        <v>5441</v>
      </c>
      <c r="B2271" s="2" t="s">
        <v>5442</v>
      </c>
      <c r="C2271" s="2" t="s">
        <v>26</v>
      </c>
      <c r="D2271" s="2" t="s">
        <v>27</v>
      </c>
      <c r="E2271" s="5">
        <v>-29887</v>
      </c>
      <c r="F2271" s="3" t="s">
        <v>613</v>
      </c>
      <c r="G2271" s="3" t="s">
        <v>106</v>
      </c>
      <c r="H2271" s="2" t="s">
        <v>21</v>
      </c>
      <c r="I2271" s="2" t="s">
        <v>5443</v>
      </c>
      <c r="J2271" s="3" t="str">
        <f>HYPERLINK("https://www.boe.es/gazeta/dias/1818/03/03/pdfs/GMD-1818-27.pdf#page=5","Abrir facsímil")</f>
        <v>Abrir facsímil</v>
      </c>
      <c r="K2271" s="3" t="s">
        <v>23</v>
      </c>
    </row>
    <row r="2272" spans="1:11" ht="42" customHeight="1">
      <c r="A2272" s="2" t="s">
        <v>5444</v>
      </c>
      <c r="B2272" s="2" t="s">
        <v>5444</v>
      </c>
      <c r="C2272" s="2" t="s">
        <v>26</v>
      </c>
      <c r="D2272" s="2" t="s">
        <v>27</v>
      </c>
      <c r="E2272" s="5">
        <v>-29738</v>
      </c>
      <c r="F2272" s="3" t="s">
        <v>263</v>
      </c>
      <c r="G2272" s="3" t="s">
        <v>45</v>
      </c>
      <c r="H2272" s="2" t="s">
        <v>36</v>
      </c>
      <c r="I2272" s="2" t="s">
        <v>5445</v>
      </c>
      <c r="J2272" s="3" t="str">
        <f>HYPERLINK("https://www.boe.es/gazeta/dias/1818/07/30/pdfs/GMD-1818-91.pdf#page=8","Abrir facsímil")</f>
        <v>Abrir facsímil</v>
      </c>
      <c r="K2272" s="3" t="s">
        <v>38</v>
      </c>
    </row>
    <row r="2273" spans="1:11" ht="42" customHeight="1">
      <c r="A2273" s="2" t="s">
        <v>5446</v>
      </c>
      <c r="B2273" s="2" t="s">
        <v>5447</v>
      </c>
      <c r="C2273" s="2" t="s">
        <v>68</v>
      </c>
      <c r="D2273" s="2" t="s">
        <v>69</v>
      </c>
      <c r="E2273" s="5">
        <v>-29612</v>
      </c>
      <c r="F2273" s="3" t="s">
        <v>1765</v>
      </c>
      <c r="G2273" s="3" t="s">
        <v>45</v>
      </c>
      <c r="H2273" s="2" t="s">
        <v>36</v>
      </c>
      <c r="I2273" s="2" t="s">
        <v>5448</v>
      </c>
      <c r="J2273" s="3" t="str">
        <f>HYPERLINK("https://www.boe.es/gazeta/dias/1818/12/03/pdfs/GMD-1818-146.pdf#page=8","Abrir facsímil")</f>
        <v>Abrir facsímil</v>
      </c>
      <c r="K2273" s="3" t="s">
        <v>38</v>
      </c>
    </row>
    <row r="2274" spans="1:11" ht="42" customHeight="1">
      <c r="A2274" s="2" t="s">
        <v>5449</v>
      </c>
      <c r="B2274" s="2" t="s">
        <v>5450</v>
      </c>
      <c r="C2274" s="2" t="s">
        <v>17</v>
      </c>
      <c r="D2274" s="2" t="s">
        <v>18</v>
      </c>
      <c r="E2274" s="5">
        <v>-29857</v>
      </c>
      <c r="F2274" s="3" t="s">
        <v>831</v>
      </c>
      <c r="G2274" s="3" t="s">
        <v>20</v>
      </c>
      <c r="H2274" s="2" t="s">
        <v>21</v>
      </c>
      <c r="I2274" s="2" t="s">
        <v>5451</v>
      </c>
      <c r="J2274" s="3" t="str">
        <f>HYPERLINK("https://www.boe.es/gazeta/dias/1818/04/02/pdfs/GMD-1818-40.pdf#page=7","Abrir facsímil")</f>
        <v>Abrir facsímil</v>
      </c>
      <c r="K2274" s="3" t="s">
        <v>23</v>
      </c>
    </row>
    <row r="2275" spans="1:11" ht="42" customHeight="1">
      <c r="A2275" s="2" t="s">
        <v>5452</v>
      </c>
      <c r="B2275" s="2" t="s">
        <v>5453</v>
      </c>
      <c r="C2275" s="2" t="s">
        <v>57</v>
      </c>
      <c r="D2275" s="2" t="s">
        <v>18</v>
      </c>
      <c r="E2275" s="5">
        <v>-29778</v>
      </c>
      <c r="F2275" s="3" t="s">
        <v>239</v>
      </c>
      <c r="G2275" s="3" t="s">
        <v>20</v>
      </c>
      <c r="H2275" s="2" t="s">
        <v>36</v>
      </c>
      <c r="I2275" s="2" t="s">
        <v>5454</v>
      </c>
      <c r="J2275" s="3" t="str">
        <f>HYPERLINK("https://www.boe.es/gazeta/dias/1818/06/20/pdfs/GMD-1818-74.pdf#page=7","Abrir facsímil")</f>
        <v>Abrir facsímil</v>
      </c>
      <c r="K2275" s="3" t="s">
        <v>38</v>
      </c>
    </row>
    <row r="2276" spans="1:11" ht="42" customHeight="1">
      <c r="A2276" s="2" t="s">
        <v>5455</v>
      </c>
      <c r="B2276" s="2" t="s">
        <v>5455</v>
      </c>
      <c r="C2276" s="2" t="s">
        <v>26</v>
      </c>
      <c r="D2276" s="2" t="s">
        <v>27</v>
      </c>
      <c r="E2276" s="5">
        <v>-29773</v>
      </c>
      <c r="F2276" s="3" t="s">
        <v>424</v>
      </c>
      <c r="G2276" s="3" t="s">
        <v>49</v>
      </c>
      <c r="H2276" s="2" t="s">
        <v>36</v>
      </c>
      <c r="I2276" s="2" t="s">
        <v>5456</v>
      </c>
      <c r="J2276" s="3" t="str">
        <f>HYPERLINK("https://www.boe.es/gazeta/dias/1818/06/25/pdfs/GMD-1818-76.pdf#page=1","Abrir facsímil")</f>
        <v>Abrir facsímil</v>
      </c>
      <c r="K2276" s="3" t="s">
        <v>38</v>
      </c>
    </row>
    <row r="2277" spans="1:11" ht="42" customHeight="1">
      <c r="A2277" s="2" t="s">
        <v>5457</v>
      </c>
      <c r="B2277" s="2" t="s">
        <v>5457</v>
      </c>
      <c r="C2277" s="2" t="s">
        <v>26</v>
      </c>
      <c r="D2277" s="2" t="s">
        <v>27</v>
      </c>
      <c r="E2277" s="5">
        <v>-29598</v>
      </c>
      <c r="F2277" s="3" t="s">
        <v>98</v>
      </c>
      <c r="G2277" s="3" t="s">
        <v>85</v>
      </c>
      <c r="H2277" s="2" t="s">
        <v>36</v>
      </c>
      <c r="I2277" s="2" t="s">
        <v>5458</v>
      </c>
      <c r="J2277" s="3" t="str">
        <f>HYPERLINK("https://www.boe.es/gazeta/dias/1818/12/17/pdfs/GMD-1818-152.pdf#page=3","Abrir facsímil")</f>
        <v>Abrir facsímil</v>
      </c>
      <c r="K2277" s="3" t="s">
        <v>38</v>
      </c>
    </row>
    <row r="2278" spans="1:11" ht="42" customHeight="1">
      <c r="A2278" s="2" t="s">
        <v>5459</v>
      </c>
      <c r="B2278" s="2" t="s">
        <v>5459</v>
      </c>
      <c r="C2278" s="2" t="s">
        <v>17</v>
      </c>
      <c r="D2278" s="2" t="s">
        <v>18</v>
      </c>
      <c r="E2278" s="5">
        <v>-29827</v>
      </c>
      <c r="F2278" s="3" t="s">
        <v>280</v>
      </c>
      <c r="G2278" s="3" t="s">
        <v>120</v>
      </c>
      <c r="H2278" s="2" t="s">
        <v>36</v>
      </c>
      <c r="I2278" s="2" t="s">
        <v>5460</v>
      </c>
      <c r="J2278" s="3" t="str">
        <f>HYPERLINK("https://www.boe.es/gazeta/dias/1818/05/02/pdfs/GMD-1818-53.pdf#page=2","Abrir facsímil")</f>
        <v>Abrir facsímil</v>
      </c>
      <c r="K2278" s="3" t="s">
        <v>38</v>
      </c>
    </row>
    <row r="2279" spans="1:11" ht="42" customHeight="1">
      <c r="A2279" s="2" t="s">
        <v>5461</v>
      </c>
      <c r="B2279" s="2" t="s">
        <v>5461</v>
      </c>
      <c r="C2279" s="2" t="s">
        <v>33</v>
      </c>
      <c r="D2279" s="2" t="s">
        <v>18</v>
      </c>
      <c r="E2279" s="5">
        <v>-29647</v>
      </c>
      <c r="F2279" s="3" t="s">
        <v>1547</v>
      </c>
      <c r="G2279" s="3" t="s">
        <v>49</v>
      </c>
      <c r="H2279" s="2" t="s">
        <v>36</v>
      </c>
      <c r="I2279" s="2" t="s">
        <v>5462</v>
      </c>
      <c r="J2279" s="3" t="str">
        <f>HYPERLINK("https://www.boe.es/gazeta/dias/1818/10/29/pdfs/GMD-1818-131.pdf#page=1","Abrir facsímil")</f>
        <v>Abrir facsímil</v>
      </c>
      <c r="K2279" s="3" t="s">
        <v>38</v>
      </c>
    </row>
    <row r="2280" spans="1:11" ht="42" customHeight="1">
      <c r="A2280" s="2" t="s">
        <v>5463</v>
      </c>
      <c r="B2280" s="2" t="s">
        <v>5463</v>
      </c>
      <c r="C2280" s="2" t="s">
        <v>26</v>
      </c>
      <c r="D2280" s="2" t="s">
        <v>27</v>
      </c>
      <c r="E2280" s="5">
        <v>-29754</v>
      </c>
      <c r="F2280" s="3" t="s">
        <v>466</v>
      </c>
      <c r="G2280" s="3" t="s">
        <v>49</v>
      </c>
      <c r="H2280" s="2" t="s">
        <v>36</v>
      </c>
      <c r="I2280" s="2" t="s">
        <v>5464</v>
      </c>
      <c r="J2280" s="3" t="str">
        <f>HYPERLINK("https://www.boe.es/gazeta/dias/1818/07/14/pdfs/GMD-1818-84.pdf#page=1","Abrir facsímil")</f>
        <v>Abrir facsímil</v>
      </c>
      <c r="K2280" s="3" t="s">
        <v>38</v>
      </c>
    </row>
    <row r="2281" spans="1:11" ht="42" customHeight="1">
      <c r="A2281" s="2" t="s">
        <v>5465</v>
      </c>
      <c r="B2281" s="2" t="s">
        <v>5465</v>
      </c>
      <c r="C2281" s="2" t="s">
        <v>33</v>
      </c>
      <c r="D2281" s="2" t="s">
        <v>18</v>
      </c>
      <c r="E2281" s="5">
        <v>-29696</v>
      </c>
      <c r="F2281" s="3" t="s">
        <v>1716</v>
      </c>
      <c r="G2281" s="3" t="s">
        <v>49</v>
      </c>
      <c r="H2281" s="2" t="s">
        <v>36</v>
      </c>
      <c r="I2281" s="2" t="s">
        <v>5466</v>
      </c>
      <c r="J2281" s="3" t="str">
        <f>HYPERLINK("https://www.boe.es/gazeta/dias/1818/09/10/pdfs/GMD-1818-109.pdf#page=1","Abrir facsímil")</f>
        <v>Abrir facsímil</v>
      </c>
      <c r="K2281" s="3" t="s">
        <v>38</v>
      </c>
    </row>
    <row r="2282" spans="1:11" ht="42" customHeight="1">
      <c r="A2282" s="2" t="s">
        <v>5467</v>
      </c>
      <c r="B2282" s="2" t="s">
        <v>5467</v>
      </c>
      <c r="C2282" s="2" t="s">
        <v>17</v>
      </c>
      <c r="D2282" s="2" t="s">
        <v>18</v>
      </c>
      <c r="E2282" s="5">
        <v>-29948</v>
      </c>
      <c r="F2282" s="3" t="s">
        <v>199</v>
      </c>
      <c r="G2282" s="3" t="s">
        <v>49</v>
      </c>
      <c r="H2282" s="2" t="s">
        <v>36</v>
      </c>
      <c r="I2282" s="2" t="s">
        <v>5468</v>
      </c>
      <c r="J2282" s="3" t="str">
        <f>HYPERLINK("https://www.boe.es/gazeta/dias/1818/01/01/pdfs/GMD-1818-1.pdf#page=1","Abrir facsímil")</f>
        <v>Abrir facsímil</v>
      </c>
      <c r="K2282" s="3" t="s">
        <v>38</v>
      </c>
    </row>
    <row r="2283" spans="1:11" ht="42" customHeight="1">
      <c r="A2283" s="2" t="s">
        <v>5467</v>
      </c>
      <c r="B2283" s="2" t="s">
        <v>5467</v>
      </c>
      <c r="C2283" s="2" t="s">
        <v>17</v>
      </c>
      <c r="D2283" s="2" t="s">
        <v>18</v>
      </c>
      <c r="E2283" s="5">
        <v>-29757</v>
      </c>
      <c r="F2283" s="3" t="s">
        <v>115</v>
      </c>
      <c r="G2283" s="3" t="s">
        <v>85</v>
      </c>
      <c r="H2283" s="2" t="s">
        <v>36</v>
      </c>
      <c r="I2283" s="2" t="s">
        <v>5469</v>
      </c>
      <c r="J2283" s="3" t="str">
        <f>HYPERLINK("https://www.boe.es/gazeta/dias/1818/07/11/pdfs/GMD-1818-83.pdf#page=3","Abrir facsímil")</f>
        <v>Abrir facsímil</v>
      </c>
      <c r="K2283" s="3" t="s">
        <v>38</v>
      </c>
    </row>
    <row r="2284" spans="1:11" ht="42" customHeight="1">
      <c r="A2284" s="2" t="s">
        <v>5467</v>
      </c>
      <c r="B2284" s="2" t="s">
        <v>5467</v>
      </c>
      <c r="C2284" s="2" t="s">
        <v>17</v>
      </c>
      <c r="D2284" s="2" t="s">
        <v>18</v>
      </c>
      <c r="E2284" s="5">
        <v>-29731</v>
      </c>
      <c r="F2284" s="3" t="s">
        <v>299</v>
      </c>
      <c r="G2284" s="3" t="s">
        <v>85</v>
      </c>
      <c r="H2284" s="2" t="s">
        <v>36</v>
      </c>
      <c r="I2284" s="2" t="s">
        <v>5470</v>
      </c>
      <c r="J2284" s="3" t="str">
        <f>HYPERLINK("https://www.boe.es/gazeta/dias/1818/08/06/pdfs/GMD-1818-94.pdf#page=3","Abrir facsímil")</f>
        <v>Abrir facsímil</v>
      </c>
      <c r="K2284" s="3" t="s">
        <v>38</v>
      </c>
    </row>
    <row r="2285" spans="1:11" ht="42" customHeight="1">
      <c r="A2285" s="2" t="s">
        <v>5467</v>
      </c>
      <c r="B2285" s="2" t="s">
        <v>5467</v>
      </c>
      <c r="C2285" s="2" t="s">
        <v>68</v>
      </c>
      <c r="D2285" s="2" t="s">
        <v>69</v>
      </c>
      <c r="E2285" s="5">
        <v>-29605</v>
      </c>
      <c r="F2285" s="3" t="s">
        <v>888</v>
      </c>
      <c r="G2285" s="3" t="s">
        <v>120</v>
      </c>
      <c r="H2285" s="2" t="s">
        <v>36</v>
      </c>
      <c r="I2285" s="2" t="s">
        <v>5471</v>
      </c>
      <c r="J2285" s="3" t="str">
        <f>HYPERLINK("https://www.boe.es/gazeta/dias/1818/12/10/pdfs/GMD-1818-149.pdf#page=2","Abrir facsímil")</f>
        <v>Abrir facsímil</v>
      </c>
      <c r="K2285" s="3" t="s">
        <v>38</v>
      </c>
    </row>
    <row r="2286" spans="1:11" ht="42" customHeight="1">
      <c r="A2286" s="2" t="s">
        <v>5472</v>
      </c>
      <c r="B2286" s="2" t="s">
        <v>5472</v>
      </c>
      <c r="C2286" s="2" t="s">
        <v>215</v>
      </c>
      <c r="D2286" s="2" t="s">
        <v>18</v>
      </c>
      <c r="E2286" s="5">
        <v>-29941</v>
      </c>
      <c r="F2286" s="3" t="s">
        <v>2259</v>
      </c>
      <c r="G2286" s="3" t="s">
        <v>120</v>
      </c>
      <c r="H2286" s="2" t="s">
        <v>36</v>
      </c>
      <c r="I2286" s="2" t="s">
        <v>5473</v>
      </c>
      <c r="J2286" s="3" t="str">
        <f>HYPERLINK("https://www.boe.es/gazeta/dias/1818/01/08/pdfs/GMD-1818-4.pdf#page=2","Abrir facsímil")</f>
        <v>Abrir facsímil</v>
      </c>
      <c r="K2286" s="3" t="s">
        <v>38</v>
      </c>
    </row>
    <row r="2287" spans="1:11" ht="42" customHeight="1">
      <c r="A2287" s="2" t="s">
        <v>5474</v>
      </c>
      <c r="B2287" s="2" t="s">
        <v>5474</v>
      </c>
      <c r="C2287" s="2" t="s">
        <v>26</v>
      </c>
      <c r="D2287" s="2" t="s">
        <v>27</v>
      </c>
      <c r="E2287" s="5">
        <v>-29827</v>
      </c>
      <c r="F2287" s="3" t="s">
        <v>280</v>
      </c>
      <c r="G2287" s="3" t="s">
        <v>85</v>
      </c>
      <c r="H2287" s="2" t="s">
        <v>36</v>
      </c>
      <c r="I2287" s="2" t="s">
        <v>5475</v>
      </c>
      <c r="J2287" s="3" t="str">
        <f>HYPERLINK("https://www.boe.es/gazeta/dias/1818/05/02/pdfs/GMD-1818-53.pdf#page=3","Abrir facsímil")</f>
        <v>Abrir facsímil</v>
      </c>
      <c r="K2287" s="3" t="s">
        <v>38</v>
      </c>
    </row>
    <row r="2288" spans="1:11" ht="42" customHeight="1">
      <c r="A2288" s="2" t="s">
        <v>5476</v>
      </c>
      <c r="B2288" s="2" t="s">
        <v>5477</v>
      </c>
      <c r="C2288" s="2" t="s">
        <v>26</v>
      </c>
      <c r="D2288" s="2" t="s">
        <v>27</v>
      </c>
      <c r="E2288" s="5">
        <v>-29834</v>
      </c>
      <c r="F2288" s="3" t="s">
        <v>457</v>
      </c>
      <c r="G2288" s="3" t="s">
        <v>49</v>
      </c>
      <c r="H2288" s="2" t="s">
        <v>36</v>
      </c>
      <c r="I2288" s="2" t="s">
        <v>5478</v>
      </c>
      <c r="J2288" s="3" t="str">
        <f>HYPERLINK("https://www.boe.es/gazeta/dias/1818/04/25/pdfs/GMD-1818-50.pdf#page=1","Abrir facsímil")</f>
        <v>Abrir facsímil</v>
      </c>
      <c r="K2288" s="3" t="s">
        <v>38</v>
      </c>
    </row>
    <row r="2289" spans="1:11" ht="42" customHeight="1">
      <c r="A2289" s="2" t="s">
        <v>5479</v>
      </c>
      <c r="B2289" s="2" t="s">
        <v>5480</v>
      </c>
      <c r="C2289" s="2" t="s">
        <v>26</v>
      </c>
      <c r="D2289" s="2" t="s">
        <v>27</v>
      </c>
      <c r="E2289" s="5">
        <v>-29626</v>
      </c>
      <c r="F2289" s="3" t="s">
        <v>496</v>
      </c>
      <c r="G2289" s="3" t="s">
        <v>882</v>
      </c>
      <c r="H2289" s="2" t="s">
        <v>21</v>
      </c>
      <c r="I2289" s="2" t="s">
        <v>5481</v>
      </c>
      <c r="J2289" s="3" t="str">
        <f>HYPERLINK("https://www.boe.es/gazeta/dias/1818/11/19/pdfs/GMD-1818-140.pdf#page=4","Abrir facsímil")</f>
        <v>Abrir facsímil</v>
      </c>
      <c r="K2289" s="3" t="s">
        <v>23</v>
      </c>
    </row>
    <row r="2290" spans="1:11" ht="42" customHeight="1">
      <c r="A2290" s="2" t="s">
        <v>5482</v>
      </c>
      <c r="B2290" s="2" t="s">
        <v>5483</v>
      </c>
      <c r="C2290" s="2" t="s">
        <v>68</v>
      </c>
      <c r="D2290" s="2" t="s">
        <v>69</v>
      </c>
      <c r="E2290" s="5">
        <v>-29915</v>
      </c>
      <c r="F2290" s="3" t="s">
        <v>429</v>
      </c>
      <c r="G2290" s="3" t="s">
        <v>20</v>
      </c>
      <c r="H2290" s="2" t="s">
        <v>36</v>
      </c>
      <c r="I2290" s="2" t="s">
        <v>5484</v>
      </c>
      <c r="J2290" s="3" t="str">
        <f>HYPERLINK("https://www.boe.es/gazeta/dias/1818/02/03/pdfs/GMD-1818-15.pdf#page=7","Abrir facsímil")</f>
        <v>Abrir facsímil</v>
      </c>
      <c r="K2290" s="3" t="s">
        <v>38</v>
      </c>
    </row>
    <row r="2291" spans="1:11" ht="42" customHeight="1">
      <c r="A2291" s="2" t="s">
        <v>5485</v>
      </c>
      <c r="B2291" s="2" t="s">
        <v>5486</v>
      </c>
      <c r="C2291" s="2" t="s">
        <v>17</v>
      </c>
      <c r="D2291" s="2" t="s">
        <v>18</v>
      </c>
      <c r="E2291" s="5">
        <v>-29631</v>
      </c>
      <c r="F2291" s="3" t="s">
        <v>743</v>
      </c>
      <c r="G2291" s="3" t="s">
        <v>85</v>
      </c>
      <c r="H2291" s="2" t="s">
        <v>36</v>
      </c>
      <c r="I2291" s="2" t="s">
        <v>5487</v>
      </c>
      <c r="J2291" s="3" t="str">
        <f>HYPERLINK("https://www.boe.es/gazeta/dias/1818/11/14/pdfs/GMD-1818-138.pdf#page=3","Abrir facsímil")</f>
        <v>Abrir facsímil</v>
      </c>
      <c r="K2291" s="3" t="s">
        <v>38</v>
      </c>
    </row>
    <row r="2292" spans="1:11" ht="42" customHeight="1">
      <c r="A2292" s="2" t="s">
        <v>5488</v>
      </c>
      <c r="B2292" s="2" t="s">
        <v>5489</v>
      </c>
      <c r="C2292" s="2" t="s">
        <v>215</v>
      </c>
      <c r="D2292" s="2" t="s">
        <v>18</v>
      </c>
      <c r="E2292" s="5">
        <v>-29670</v>
      </c>
      <c r="F2292" s="3" t="s">
        <v>48</v>
      </c>
      <c r="G2292" s="3" t="s">
        <v>49</v>
      </c>
      <c r="H2292" s="2" t="s">
        <v>36</v>
      </c>
      <c r="I2292" s="2" t="s">
        <v>5490</v>
      </c>
      <c r="J2292" s="3" t="str">
        <f>HYPERLINK("https://www.boe.es/gazeta/dias/1818/10/06/pdfs/GMD-1818-120.pdf#page=1","Abrir facsímil")</f>
        <v>Abrir facsímil</v>
      </c>
      <c r="K2292" s="3" t="s">
        <v>38</v>
      </c>
    </row>
    <row r="2293" spans="1:11" ht="42" customHeight="1">
      <c r="A2293" s="2" t="s">
        <v>5491</v>
      </c>
      <c r="B2293" s="2" t="s">
        <v>5492</v>
      </c>
      <c r="C2293" s="2" t="s">
        <v>33</v>
      </c>
      <c r="D2293" s="2" t="s">
        <v>18</v>
      </c>
      <c r="E2293" s="5">
        <v>-29862</v>
      </c>
      <c r="F2293" s="3" t="s">
        <v>925</v>
      </c>
      <c r="G2293" s="3" t="s">
        <v>45</v>
      </c>
      <c r="H2293" s="2" t="s">
        <v>36</v>
      </c>
      <c r="I2293" s="2" t="s">
        <v>5493</v>
      </c>
      <c r="J2293" s="3" t="str">
        <f>HYPERLINK("https://www.boe.es/gazeta/dias/1818/03/28/pdfs/GMD-1818-38.pdf#page=8","Abrir facsímil")</f>
        <v>Abrir facsímil</v>
      </c>
      <c r="K2293" s="3" t="s">
        <v>38</v>
      </c>
    </row>
    <row r="2294" spans="1:11" ht="42" customHeight="1">
      <c r="A2294" s="2" t="s">
        <v>5494</v>
      </c>
      <c r="B2294" s="2" t="s">
        <v>5494</v>
      </c>
      <c r="C2294" s="2" t="s">
        <v>26</v>
      </c>
      <c r="D2294" s="2" t="s">
        <v>27</v>
      </c>
      <c r="E2294" s="5">
        <v>-29752</v>
      </c>
      <c r="F2294" s="3" t="s">
        <v>165</v>
      </c>
      <c r="G2294" s="3" t="s">
        <v>45</v>
      </c>
      <c r="H2294" s="2" t="s">
        <v>36</v>
      </c>
      <c r="I2294" s="2" t="s">
        <v>5495</v>
      </c>
      <c r="J2294" s="3" t="str">
        <f>HYPERLINK("https://www.boe.es/gazeta/dias/1818/07/16/pdfs/GMD-1818-85.pdf#page=8","Abrir facsímil")</f>
        <v>Abrir facsímil</v>
      </c>
      <c r="K2294" s="3" t="s">
        <v>38</v>
      </c>
    </row>
    <row r="2295" spans="1:11" ht="42" customHeight="1">
      <c r="A2295" s="2" t="s">
        <v>5496</v>
      </c>
      <c r="B2295" s="2" t="s">
        <v>5497</v>
      </c>
      <c r="C2295" s="2" t="s">
        <v>63</v>
      </c>
      <c r="D2295" s="2" t="s">
        <v>18</v>
      </c>
      <c r="E2295" s="5">
        <v>-29904</v>
      </c>
      <c r="F2295" s="3" t="s">
        <v>451</v>
      </c>
      <c r="G2295" s="3" t="s">
        <v>45</v>
      </c>
      <c r="H2295" s="2" t="s">
        <v>36</v>
      </c>
      <c r="I2295" s="2" t="s">
        <v>5498</v>
      </c>
      <c r="J2295" s="3" t="str">
        <f>HYPERLINK("https://www.boe.es/gazeta/dias/1818/02/14/pdfs/GMD-1818-20.pdf#page=8","Abrir facsímil")</f>
        <v>Abrir facsímil</v>
      </c>
      <c r="K2295" s="3" t="s">
        <v>38</v>
      </c>
    </row>
    <row r="2296" spans="1:11" ht="42" customHeight="1">
      <c r="A2296" s="2" t="s">
        <v>5499</v>
      </c>
      <c r="B2296" s="2" t="s">
        <v>5500</v>
      </c>
      <c r="C2296" s="2" t="s">
        <v>26</v>
      </c>
      <c r="D2296" s="2" t="s">
        <v>27</v>
      </c>
      <c r="E2296" s="5">
        <v>-29920</v>
      </c>
      <c r="F2296" s="3" t="s">
        <v>201</v>
      </c>
      <c r="G2296" s="3" t="s">
        <v>111</v>
      </c>
      <c r="H2296" s="2" t="s">
        <v>36</v>
      </c>
      <c r="I2296" s="2" t="s">
        <v>5501</v>
      </c>
      <c r="J2296" s="3" t="str">
        <f>HYPERLINK("https://www.boe.es/gazeta/dias/1818/01/29/pdfs/GMD-1818-13.pdf#page=11","Abrir facsímil")</f>
        <v>Abrir facsímil</v>
      </c>
      <c r="K2296" s="3" t="s">
        <v>38</v>
      </c>
    </row>
    <row r="2297" spans="1:11" ht="42" customHeight="1">
      <c r="A2297" s="2" t="s">
        <v>5502</v>
      </c>
      <c r="B2297" s="2" t="s">
        <v>5503</v>
      </c>
      <c r="C2297" s="2" t="s">
        <v>26</v>
      </c>
      <c r="D2297" s="2" t="s">
        <v>27</v>
      </c>
      <c r="E2297" s="5">
        <v>-29859</v>
      </c>
      <c r="F2297" s="3" t="s">
        <v>3456</v>
      </c>
      <c r="G2297" s="3" t="s">
        <v>20</v>
      </c>
      <c r="H2297" s="2" t="s">
        <v>36</v>
      </c>
      <c r="I2297" s="2" t="s">
        <v>5504</v>
      </c>
      <c r="J2297" s="3" t="str">
        <f>HYPERLINK("https://www.boe.es/gazeta/dias/1818/03/31/pdfs/GMD-1818-39.pdf#page=7","Abrir facsímil")</f>
        <v>Abrir facsímil</v>
      </c>
      <c r="K2297" s="3" t="s">
        <v>38</v>
      </c>
    </row>
    <row r="2298" spans="1:11" ht="42" customHeight="1">
      <c r="A2298" s="2" t="s">
        <v>5505</v>
      </c>
      <c r="B2298" s="2" t="s">
        <v>5506</v>
      </c>
      <c r="C2298" s="2" t="s">
        <v>215</v>
      </c>
      <c r="D2298" s="2" t="s">
        <v>18</v>
      </c>
      <c r="E2298" s="5">
        <v>-29852</v>
      </c>
      <c r="F2298" s="3" t="s">
        <v>327</v>
      </c>
      <c r="G2298" s="3" t="s">
        <v>106</v>
      </c>
      <c r="H2298" s="2" t="s">
        <v>36</v>
      </c>
      <c r="I2298" s="2" t="s">
        <v>5507</v>
      </c>
      <c r="J2298" s="3" t="str">
        <f>HYPERLINK("https://www.boe.es/gazeta/dias/1818/04/07/pdfs/GMD-1818-42.pdf#page=5","Abrir facsímil")</f>
        <v>Abrir facsímil</v>
      </c>
      <c r="K2298" s="3" t="s">
        <v>38</v>
      </c>
    </row>
    <row r="2299" spans="1:11" ht="42" customHeight="1">
      <c r="A2299" s="2" t="s">
        <v>5508</v>
      </c>
      <c r="B2299" s="2" t="s">
        <v>5509</v>
      </c>
      <c r="C2299" s="2" t="s">
        <v>57</v>
      </c>
      <c r="D2299" s="2" t="s">
        <v>18</v>
      </c>
      <c r="E2299" s="5">
        <v>-29724</v>
      </c>
      <c r="F2299" s="3" t="s">
        <v>370</v>
      </c>
      <c r="G2299" s="3" t="s">
        <v>106</v>
      </c>
      <c r="H2299" s="2" t="s">
        <v>36</v>
      </c>
      <c r="I2299" s="2" t="s">
        <v>5510</v>
      </c>
      <c r="J2299" s="3" t="str">
        <f>HYPERLINK("https://www.boe.es/gazeta/dias/1818/08/13/pdfs/GMD-1818-97.pdf#page=5","Abrir facsímil")</f>
        <v>Abrir facsímil</v>
      </c>
      <c r="K2299" s="3" t="s">
        <v>38</v>
      </c>
    </row>
    <row r="2300" spans="1:11" ht="42" customHeight="1">
      <c r="A2300" s="2" t="s">
        <v>5511</v>
      </c>
      <c r="B2300" s="2" t="s">
        <v>5512</v>
      </c>
      <c r="C2300" s="2" t="s">
        <v>26</v>
      </c>
      <c r="D2300" s="2" t="s">
        <v>27</v>
      </c>
      <c r="E2300" s="5">
        <v>-29731</v>
      </c>
      <c r="F2300" s="3" t="s">
        <v>299</v>
      </c>
      <c r="G2300" s="3" t="s">
        <v>45</v>
      </c>
      <c r="H2300" s="2" t="s">
        <v>36</v>
      </c>
      <c r="I2300" s="2" t="s">
        <v>5513</v>
      </c>
      <c r="J2300" s="3" t="str">
        <f>HYPERLINK("https://www.boe.es/gazeta/dias/1818/08/06/pdfs/GMD-1818-94.pdf#page=8","Abrir facsímil")</f>
        <v>Abrir facsímil</v>
      </c>
      <c r="K2300" s="3" t="s">
        <v>38</v>
      </c>
    </row>
    <row r="2301" spans="1:11" ht="42" customHeight="1">
      <c r="A2301" s="2" t="s">
        <v>5514</v>
      </c>
      <c r="B2301" s="2" t="s">
        <v>5515</v>
      </c>
      <c r="C2301" s="2" t="s">
        <v>26</v>
      </c>
      <c r="D2301" s="2" t="s">
        <v>27</v>
      </c>
      <c r="E2301" s="5">
        <v>-29827</v>
      </c>
      <c r="F2301" s="3" t="s">
        <v>280</v>
      </c>
      <c r="G2301" s="3" t="s">
        <v>5516</v>
      </c>
      <c r="H2301" s="2" t="s">
        <v>36</v>
      </c>
      <c r="I2301" s="2" t="s">
        <v>5517</v>
      </c>
      <c r="J2301" s="3" t="str">
        <f>HYPERLINK("https://www.boe.es/gazeta/dias/1818/05/02/pdfs/GMD-1818-53.pdf#page=8","Abrir facsímil")</f>
        <v>Abrir facsímil</v>
      </c>
      <c r="K2301" s="3" t="s">
        <v>38</v>
      </c>
    </row>
    <row r="2302" spans="1:11" ht="42" customHeight="1">
      <c r="A2302" s="2" t="s">
        <v>5518</v>
      </c>
      <c r="B2302" s="2" t="s">
        <v>5519</v>
      </c>
      <c r="C2302" s="2" t="s">
        <v>26</v>
      </c>
      <c r="D2302" s="2" t="s">
        <v>27</v>
      </c>
      <c r="E2302" s="5">
        <v>-29738</v>
      </c>
      <c r="F2302" s="3" t="s">
        <v>263</v>
      </c>
      <c r="G2302" s="3" t="s">
        <v>45</v>
      </c>
      <c r="H2302" s="2" t="s">
        <v>36</v>
      </c>
      <c r="I2302" s="2" t="s">
        <v>5520</v>
      </c>
      <c r="J2302" s="3" t="str">
        <f>HYPERLINK("https://www.boe.es/gazeta/dias/1818/07/30/pdfs/GMD-1818-91.pdf#page=8","Abrir facsímil")</f>
        <v>Abrir facsímil</v>
      </c>
      <c r="K2302" s="3" t="s">
        <v>38</v>
      </c>
    </row>
    <row r="2303" spans="1:11" ht="42" customHeight="1">
      <c r="A2303" s="2" t="s">
        <v>5521</v>
      </c>
      <c r="B2303" s="2" t="s">
        <v>5522</v>
      </c>
      <c r="C2303" s="2" t="s">
        <v>26</v>
      </c>
      <c r="D2303" s="2" t="s">
        <v>27</v>
      </c>
      <c r="E2303" s="5">
        <v>-29738</v>
      </c>
      <c r="F2303" s="3" t="s">
        <v>263</v>
      </c>
      <c r="G2303" s="3" t="s">
        <v>45</v>
      </c>
      <c r="H2303" s="2" t="s">
        <v>36</v>
      </c>
      <c r="I2303" s="2" t="s">
        <v>5523</v>
      </c>
      <c r="J2303" s="3" t="str">
        <f>HYPERLINK("https://www.boe.es/gazeta/dias/1818/07/30/pdfs/GMD-1818-91.pdf#page=8","Abrir facsímil")</f>
        <v>Abrir facsímil</v>
      </c>
      <c r="K2303" s="3" t="s">
        <v>38</v>
      </c>
    </row>
    <row r="2304" spans="1:11" ht="42" customHeight="1">
      <c r="A2304" s="2" t="s">
        <v>5524</v>
      </c>
      <c r="B2304" s="2" t="s">
        <v>5525</v>
      </c>
      <c r="C2304" s="2" t="s">
        <v>17</v>
      </c>
      <c r="D2304" s="2" t="s">
        <v>18</v>
      </c>
      <c r="E2304" s="5">
        <v>-29698</v>
      </c>
      <c r="F2304" s="3" t="s">
        <v>148</v>
      </c>
      <c r="G2304" s="3" t="s">
        <v>29</v>
      </c>
      <c r="H2304" s="2" t="s">
        <v>36</v>
      </c>
      <c r="I2304" s="2" t="s">
        <v>5526</v>
      </c>
      <c r="J2304" s="3" t="str">
        <f>HYPERLINK("https://www.boe.es/gazeta/dias/1818/09/08/pdfs/GMD-1818-108.pdf#page=4","Abrir facsímil")</f>
        <v>Abrir facsímil</v>
      </c>
      <c r="K2304" s="3" t="s">
        <v>38</v>
      </c>
    </row>
    <row r="2305" spans="1:11" ht="42" customHeight="1">
      <c r="A2305" s="2" t="s">
        <v>5527</v>
      </c>
      <c r="B2305" s="2" t="s">
        <v>5527</v>
      </c>
      <c r="C2305" s="2" t="s">
        <v>26</v>
      </c>
      <c r="D2305" s="2" t="s">
        <v>27</v>
      </c>
      <c r="E2305" s="5">
        <v>-29696</v>
      </c>
      <c r="F2305" s="3" t="s">
        <v>1716</v>
      </c>
      <c r="G2305" s="3" t="s">
        <v>49</v>
      </c>
      <c r="H2305" s="2" t="s">
        <v>36</v>
      </c>
      <c r="I2305" s="2" t="s">
        <v>5528</v>
      </c>
      <c r="J2305" s="3" t="str">
        <f>HYPERLINK("https://www.boe.es/gazeta/dias/1818/09/10/pdfs/GMD-1818-109.pdf#page=1","Abrir facsímil")</f>
        <v>Abrir facsímil</v>
      </c>
      <c r="K2305" s="3" t="s">
        <v>38</v>
      </c>
    </row>
    <row r="2306" spans="1:11" ht="42" customHeight="1">
      <c r="A2306" s="2" t="s">
        <v>5527</v>
      </c>
      <c r="B2306" s="2" t="s">
        <v>5527</v>
      </c>
      <c r="C2306" s="2" t="s">
        <v>26</v>
      </c>
      <c r="D2306" s="2" t="s">
        <v>27</v>
      </c>
      <c r="E2306" s="5">
        <v>-29696</v>
      </c>
      <c r="F2306" s="3" t="s">
        <v>1716</v>
      </c>
      <c r="G2306" s="3" t="s">
        <v>120</v>
      </c>
      <c r="H2306" s="2" t="s">
        <v>36</v>
      </c>
      <c r="I2306" s="2" t="s">
        <v>5529</v>
      </c>
      <c r="J2306" s="3" t="str">
        <f>HYPERLINK("https://www.boe.es/gazeta/dias/1818/09/10/pdfs/GMD-1818-109.pdf#page=2","Abrir facsímil")</f>
        <v>Abrir facsímil</v>
      </c>
      <c r="K2306" s="3" t="s">
        <v>38</v>
      </c>
    </row>
    <row r="2307" spans="1:11" ht="42" customHeight="1">
      <c r="A2307" s="2" t="s">
        <v>5530</v>
      </c>
      <c r="B2307" s="2" t="s">
        <v>5531</v>
      </c>
      <c r="C2307" s="2" t="s">
        <v>26</v>
      </c>
      <c r="D2307" s="2" t="s">
        <v>27</v>
      </c>
      <c r="E2307" s="5">
        <v>-29747</v>
      </c>
      <c r="F2307" s="3" t="s">
        <v>536</v>
      </c>
      <c r="G2307" s="3" t="s">
        <v>29</v>
      </c>
      <c r="H2307" s="2" t="s">
        <v>36</v>
      </c>
      <c r="I2307" s="2" t="s">
        <v>5532</v>
      </c>
      <c r="J2307" s="3" t="str">
        <f>HYPERLINK("https://www.boe.es/gazeta/dias/1818/07/21/pdfs/GMD-1818-87.pdf#page=4","Abrir facsímil")</f>
        <v>Abrir facsímil</v>
      </c>
      <c r="K2307" s="3" t="s">
        <v>38</v>
      </c>
    </row>
    <row r="2308" spans="1:11" ht="42" customHeight="1">
      <c r="A2308" s="2" t="s">
        <v>5533</v>
      </c>
      <c r="B2308" s="2" t="s">
        <v>5533</v>
      </c>
      <c r="C2308" s="2" t="s">
        <v>26</v>
      </c>
      <c r="D2308" s="2" t="s">
        <v>27</v>
      </c>
      <c r="E2308" s="5">
        <v>-29824</v>
      </c>
      <c r="F2308" s="3" t="s">
        <v>101</v>
      </c>
      <c r="G2308" s="3" t="s">
        <v>49</v>
      </c>
      <c r="H2308" s="2" t="s">
        <v>36</v>
      </c>
      <c r="I2308" s="2" t="s">
        <v>5534</v>
      </c>
      <c r="J2308" s="3" t="str">
        <f>HYPERLINK("https://www.boe.es/gazeta/dias/1818/05/05/pdfs/GMD-1818-54.pdf#page=1","Abrir facsímil")</f>
        <v>Abrir facsímil</v>
      </c>
      <c r="K2308" s="3" t="s">
        <v>38</v>
      </c>
    </row>
    <row r="2309" spans="1:11" ht="42" customHeight="1">
      <c r="A2309" s="2" t="s">
        <v>5535</v>
      </c>
      <c r="B2309" s="2" t="s">
        <v>5536</v>
      </c>
      <c r="C2309" s="2" t="s">
        <v>57</v>
      </c>
      <c r="D2309" s="2" t="s">
        <v>18</v>
      </c>
      <c r="E2309" s="5">
        <v>-29752</v>
      </c>
      <c r="F2309" s="3" t="s">
        <v>165</v>
      </c>
      <c r="G2309" s="3" t="s">
        <v>59</v>
      </c>
      <c r="H2309" s="2" t="s">
        <v>36</v>
      </c>
      <c r="I2309" s="2" t="s">
        <v>5537</v>
      </c>
      <c r="J2309" s="3" t="str">
        <f>HYPERLINK("https://www.boe.es/gazeta/dias/1818/07/16/pdfs/GMD-1818-85.pdf#page=6","Abrir facsímil")</f>
        <v>Abrir facsímil</v>
      </c>
      <c r="K2309" s="3" t="s">
        <v>38</v>
      </c>
    </row>
    <row r="2310" spans="1:11" ht="42" customHeight="1">
      <c r="A2310" s="2" t="s">
        <v>5538</v>
      </c>
      <c r="B2310" s="2" t="s">
        <v>5539</v>
      </c>
      <c r="C2310" s="2" t="s">
        <v>26</v>
      </c>
      <c r="D2310" s="2" t="s">
        <v>27</v>
      </c>
      <c r="E2310" s="5">
        <v>-29663</v>
      </c>
      <c r="F2310" s="3" t="s">
        <v>1011</v>
      </c>
      <c r="G2310" s="3" t="s">
        <v>45</v>
      </c>
      <c r="H2310" s="2" t="s">
        <v>36</v>
      </c>
      <c r="I2310" s="2" t="s">
        <v>5540</v>
      </c>
      <c r="J2310" s="3" t="str">
        <f>HYPERLINK("https://www.boe.es/gazeta/dias/1818/10/13/pdfs/GMD-1818-123.pdf#page=8","Abrir facsímil")</f>
        <v>Abrir facsímil</v>
      </c>
      <c r="K2310" s="3" t="s">
        <v>38</v>
      </c>
    </row>
    <row r="2311" spans="1:11" ht="42" customHeight="1">
      <c r="A2311" s="2" t="s">
        <v>5541</v>
      </c>
      <c r="B2311" s="2" t="s">
        <v>5542</v>
      </c>
      <c r="C2311" s="2" t="s">
        <v>26</v>
      </c>
      <c r="D2311" s="2" t="s">
        <v>27</v>
      </c>
      <c r="E2311" s="5">
        <v>-29918</v>
      </c>
      <c r="F2311" s="3" t="s">
        <v>89</v>
      </c>
      <c r="G2311" s="3" t="s">
        <v>1492</v>
      </c>
      <c r="H2311" s="2" t="s">
        <v>36</v>
      </c>
      <c r="I2311" s="2" t="s">
        <v>5543</v>
      </c>
      <c r="J2311" s="3" t="str">
        <f>HYPERLINK("https://www.boe.es/gazeta/dias/1818/01/31/pdfs/GMD-1818-14.pdf#page=6","Abrir facsímil")</f>
        <v>Abrir facsímil</v>
      </c>
      <c r="K2311" s="3" t="s">
        <v>38</v>
      </c>
    </row>
    <row r="2312" spans="1:11" ht="42" customHeight="1">
      <c r="A2312" s="2" t="s">
        <v>5544</v>
      </c>
      <c r="B2312" s="2" t="s">
        <v>5545</v>
      </c>
      <c r="C2312" s="2" t="s">
        <v>26</v>
      </c>
      <c r="D2312" s="2" t="s">
        <v>27</v>
      </c>
      <c r="E2312" s="5">
        <v>-29806</v>
      </c>
      <c r="F2312" s="3" t="s">
        <v>84</v>
      </c>
      <c r="G2312" s="3" t="s">
        <v>59</v>
      </c>
      <c r="H2312" s="2" t="s">
        <v>36</v>
      </c>
      <c r="I2312" s="2" t="s">
        <v>5546</v>
      </c>
      <c r="J2312" s="3" t="str">
        <f>HYPERLINK("https://www.boe.es/gazeta/dias/1818/05/23/pdfs/GMD-1818-62.pdf#page=6","Abrir facsímil")</f>
        <v>Abrir facsímil</v>
      </c>
      <c r="K2312" s="3" t="s">
        <v>38</v>
      </c>
    </row>
    <row r="2313" spans="1:11" ht="42" customHeight="1">
      <c r="A2313" s="2" t="s">
        <v>5544</v>
      </c>
      <c r="B2313" s="2" t="s">
        <v>5545</v>
      </c>
      <c r="C2313" s="2" t="s">
        <v>26</v>
      </c>
      <c r="D2313" s="2" t="s">
        <v>27</v>
      </c>
      <c r="E2313" s="5">
        <v>-29806</v>
      </c>
      <c r="F2313" s="3" t="s">
        <v>84</v>
      </c>
      <c r="G2313" s="3" t="s">
        <v>20</v>
      </c>
      <c r="H2313" s="2" t="s">
        <v>36</v>
      </c>
      <c r="I2313" s="2" t="s">
        <v>5547</v>
      </c>
      <c r="J2313" s="3" t="str">
        <f>HYPERLINK("https://www.boe.es/gazeta/dias/1818/05/23/pdfs/GMD-1818-62.pdf#page=7","Abrir facsímil")</f>
        <v>Abrir facsímil</v>
      </c>
      <c r="K2313" s="3" t="s">
        <v>38</v>
      </c>
    </row>
    <row r="2314" spans="1:11" ht="42" customHeight="1">
      <c r="A2314" s="2" t="s">
        <v>5544</v>
      </c>
      <c r="B2314" s="2" t="s">
        <v>5545</v>
      </c>
      <c r="C2314" s="2" t="s">
        <v>26</v>
      </c>
      <c r="D2314" s="2" t="s">
        <v>27</v>
      </c>
      <c r="E2314" s="5">
        <v>-29593</v>
      </c>
      <c r="F2314" s="3" t="s">
        <v>185</v>
      </c>
      <c r="G2314" s="3" t="s">
        <v>29</v>
      </c>
      <c r="H2314" s="2" t="s">
        <v>36</v>
      </c>
      <c r="I2314" s="2" t="s">
        <v>5548</v>
      </c>
      <c r="J2314" s="3" t="str">
        <f>HYPERLINK("https://www.boe.es/gazeta/dias/1818/12/22/pdfs/GMD-1818-154.pdf#page=4","Abrir facsímil")</f>
        <v>Abrir facsímil</v>
      </c>
      <c r="K2314" s="3" t="s">
        <v>38</v>
      </c>
    </row>
    <row r="2315" spans="1:11" ht="42" customHeight="1">
      <c r="A2315" s="2" t="s">
        <v>5549</v>
      </c>
      <c r="B2315" s="2" t="s">
        <v>5550</v>
      </c>
      <c r="C2315" s="2" t="s">
        <v>26</v>
      </c>
      <c r="D2315" s="2" t="s">
        <v>27</v>
      </c>
      <c r="E2315" s="5">
        <v>-29887</v>
      </c>
      <c r="F2315" s="3" t="s">
        <v>613</v>
      </c>
      <c r="G2315" s="3" t="s">
        <v>59</v>
      </c>
      <c r="H2315" s="2" t="s">
        <v>36</v>
      </c>
      <c r="I2315" s="2" t="s">
        <v>5551</v>
      </c>
      <c r="J2315" s="3" t="str">
        <f>HYPERLINK("https://www.boe.es/gazeta/dias/1818/03/03/pdfs/GMD-1818-27.pdf#page=6","Abrir facsímil")</f>
        <v>Abrir facsímil</v>
      </c>
      <c r="K2315" s="3" t="s">
        <v>38</v>
      </c>
    </row>
    <row r="2316" spans="1:11" ht="42" customHeight="1">
      <c r="A2316" s="2" t="s">
        <v>5552</v>
      </c>
      <c r="B2316" s="2" t="s">
        <v>5553</v>
      </c>
      <c r="C2316" s="2" t="s">
        <v>17</v>
      </c>
      <c r="D2316" s="2" t="s">
        <v>18</v>
      </c>
      <c r="E2316" s="5">
        <v>-29906</v>
      </c>
      <c r="F2316" s="3" t="s">
        <v>28</v>
      </c>
      <c r="G2316" s="3" t="s">
        <v>20</v>
      </c>
      <c r="H2316" s="2" t="s">
        <v>36</v>
      </c>
      <c r="I2316" s="2" t="s">
        <v>5554</v>
      </c>
      <c r="J2316" s="3" t="str">
        <f>HYPERLINK("https://www.boe.es/gazeta/dias/1818/02/12/pdfs/GMD-1818-19.pdf#page=7","Abrir facsímil")</f>
        <v>Abrir facsímil</v>
      </c>
      <c r="K2316" s="3" t="s">
        <v>38</v>
      </c>
    </row>
    <row r="2317" spans="1:11" ht="42" customHeight="1">
      <c r="A2317" s="2" t="s">
        <v>5555</v>
      </c>
      <c r="B2317" s="2" t="s">
        <v>5556</v>
      </c>
      <c r="C2317" s="2" t="s">
        <v>26</v>
      </c>
      <c r="D2317" s="2" t="s">
        <v>27</v>
      </c>
      <c r="E2317" s="5">
        <v>-29841</v>
      </c>
      <c r="F2317" s="3" t="s">
        <v>19</v>
      </c>
      <c r="G2317" s="3" t="s">
        <v>59</v>
      </c>
      <c r="H2317" s="2" t="s">
        <v>36</v>
      </c>
      <c r="I2317" s="2" t="s">
        <v>5557</v>
      </c>
      <c r="J2317" s="3" t="str">
        <f>HYPERLINK("https://www.boe.es/gazeta/dias/1818/04/18/pdfs/GMD-1818-47.pdf#page=6","Abrir facsímil")</f>
        <v>Abrir facsímil</v>
      </c>
      <c r="K2317" s="3" t="s">
        <v>38</v>
      </c>
    </row>
    <row r="2318" spans="1:11" ht="42" customHeight="1">
      <c r="A2318" s="2" t="s">
        <v>5555</v>
      </c>
      <c r="B2318" s="2" t="s">
        <v>5556</v>
      </c>
      <c r="C2318" s="2" t="s">
        <v>26</v>
      </c>
      <c r="D2318" s="2" t="s">
        <v>27</v>
      </c>
      <c r="E2318" s="5">
        <v>-29661</v>
      </c>
      <c r="F2318" s="3" t="s">
        <v>348</v>
      </c>
      <c r="G2318" s="3" t="s">
        <v>918</v>
      </c>
      <c r="H2318" s="2" t="s">
        <v>36</v>
      </c>
      <c r="I2318" s="2" t="s">
        <v>5558</v>
      </c>
      <c r="J2318" s="3" t="str">
        <f>HYPERLINK("https://www.boe.es/gazeta/dias/1818/10/15/pdfs/GMD-1818-124.pdf#page=4","Abrir facsímil")</f>
        <v>Abrir facsímil</v>
      </c>
      <c r="K2318" s="3" t="s">
        <v>38</v>
      </c>
    </row>
    <row r="2319" spans="1:11" ht="42" customHeight="1">
      <c r="A2319" s="2" t="s">
        <v>5555</v>
      </c>
      <c r="B2319" s="2" t="s">
        <v>5556</v>
      </c>
      <c r="C2319" s="2" t="s">
        <v>26</v>
      </c>
      <c r="D2319" s="2" t="s">
        <v>27</v>
      </c>
      <c r="E2319" s="5">
        <v>-29661</v>
      </c>
      <c r="F2319" s="3" t="s">
        <v>348</v>
      </c>
      <c r="G2319" s="3" t="s">
        <v>85</v>
      </c>
      <c r="H2319" s="2" t="s">
        <v>36</v>
      </c>
      <c r="I2319" s="2" t="s">
        <v>5559</v>
      </c>
      <c r="J2319" s="3" t="str">
        <f>HYPERLINK("https://www.boe.es/gazeta/dias/1818/10/15/pdfs/GMD-1818-124.pdf#page=3","Abrir facsímil")</f>
        <v>Abrir facsímil</v>
      </c>
      <c r="K2319" s="3" t="s">
        <v>38</v>
      </c>
    </row>
    <row r="2320" spans="1:11" ht="42" customHeight="1">
      <c r="A2320" s="2" t="s">
        <v>5560</v>
      </c>
      <c r="B2320" s="2" t="s">
        <v>5561</v>
      </c>
      <c r="C2320" s="2" t="s">
        <v>26</v>
      </c>
      <c r="D2320" s="2" t="s">
        <v>27</v>
      </c>
      <c r="E2320" s="5">
        <v>-29841</v>
      </c>
      <c r="F2320" s="3" t="s">
        <v>19</v>
      </c>
      <c r="G2320" s="3" t="s">
        <v>106</v>
      </c>
      <c r="H2320" s="2" t="s">
        <v>36</v>
      </c>
      <c r="I2320" s="2" t="s">
        <v>5562</v>
      </c>
      <c r="J2320" s="3" t="str">
        <f>HYPERLINK("https://www.boe.es/gazeta/dias/1818/04/18/pdfs/GMD-1818-47.pdf#page=5","Abrir facsímil")</f>
        <v>Abrir facsímil</v>
      </c>
      <c r="K2320" s="3" t="s">
        <v>38</v>
      </c>
    </row>
    <row r="2321" spans="1:11" ht="42" customHeight="1">
      <c r="A2321" s="2" t="s">
        <v>5563</v>
      </c>
      <c r="B2321" s="2" t="s">
        <v>5564</v>
      </c>
      <c r="C2321" s="2" t="s">
        <v>26</v>
      </c>
      <c r="D2321" s="2" t="s">
        <v>27</v>
      </c>
      <c r="E2321" s="5">
        <v>-29789</v>
      </c>
      <c r="F2321" s="3" t="s">
        <v>937</v>
      </c>
      <c r="G2321" s="3" t="s">
        <v>20</v>
      </c>
      <c r="H2321" s="2" t="s">
        <v>36</v>
      </c>
      <c r="I2321" s="2" t="s">
        <v>5565</v>
      </c>
      <c r="J2321" s="3" t="str">
        <f>HYPERLINK("https://www.boe.es/gazeta/dias/1818/06/09/pdfs/GMD-1818-69.pdf#page=7","Abrir facsímil")</f>
        <v>Abrir facsímil</v>
      </c>
      <c r="K2321" s="3" t="s">
        <v>38</v>
      </c>
    </row>
    <row r="2322" spans="1:11" ht="42" customHeight="1">
      <c r="A2322" s="2" t="s">
        <v>5566</v>
      </c>
      <c r="B2322" s="2" t="s">
        <v>5567</v>
      </c>
      <c r="C2322" s="2" t="s">
        <v>57</v>
      </c>
      <c r="D2322" s="2" t="s">
        <v>18</v>
      </c>
      <c r="E2322" s="5">
        <v>-29724</v>
      </c>
      <c r="F2322" s="3" t="s">
        <v>370</v>
      </c>
      <c r="G2322" s="3" t="s">
        <v>106</v>
      </c>
      <c r="H2322" s="2" t="s">
        <v>36</v>
      </c>
      <c r="I2322" s="2" t="s">
        <v>5568</v>
      </c>
      <c r="J2322" s="3" t="str">
        <f>HYPERLINK("https://www.boe.es/gazeta/dias/1818/08/13/pdfs/GMD-1818-97.pdf#page=5","Abrir facsímil")</f>
        <v>Abrir facsímil</v>
      </c>
      <c r="K2322" s="3" t="s">
        <v>38</v>
      </c>
    </row>
    <row r="2323" spans="1:11" ht="42" customHeight="1">
      <c r="A2323" s="2" t="s">
        <v>5569</v>
      </c>
      <c r="B2323" s="2" t="s">
        <v>5570</v>
      </c>
      <c r="C2323" s="2" t="s">
        <v>33</v>
      </c>
      <c r="D2323" s="2" t="s">
        <v>18</v>
      </c>
      <c r="E2323" s="5">
        <v>-29792</v>
      </c>
      <c r="F2323" s="3" t="s">
        <v>948</v>
      </c>
      <c r="G2323" s="3" t="s">
        <v>45</v>
      </c>
      <c r="H2323" s="2" t="s">
        <v>36</v>
      </c>
      <c r="I2323" s="2" t="s">
        <v>5571</v>
      </c>
      <c r="J2323" s="3" t="str">
        <f>HYPERLINK("https://www.boe.es/gazeta/dias/1818/06/06/pdfs/GMD-1818-68.pdf#page=8","Abrir facsímil")</f>
        <v>Abrir facsímil</v>
      </c>
      <c r="K2323" s="3" t="s">
        <v>38</v>
      </c>
    </row>
    <row r="2324" spans="1:11" ht="42" customHeight="1">
      <c r="A2324" s="2" t="s">
        <v>5572</v>
      </c>
      <c r="B2324" s="2" t="s">
        <v>5573</v>
      </c>
      <c r="C2324" s="2" t="s">
        <v>26</v>
      </c>
      <c r="D2324" s="2" t="s">
        <v>27</v>
      </c>
      <c r="E2324" s="5">
        <v>-29899</v>
      </c>
      <c r="F2324" s="3" t="s">
        <v>232</v>
      </c>
      <c r="G2324" s="3" t="s">
        <v>5574</v>
      </c>
      <c r="H2324" s="2" t="s">
        <v>36</v>
      </c>
      <c r="I2324" s="2" t="s">
        <v>5575</v>
      </c>
      <c r="J2324" s="3" t="str">
        <f>HYPERLINK("https://www.boe.es/gazeta/dias/1818/02/19/pdfs/GMD-1818-22.pdf#page=5","Abrir facsímil")</f>
        <v>Abrir facsímil</v>
      </c>
      <c r="K2324" s="3" t="s">
        <v>38</v>
      </c>
    </row>
    <row r="2325" spans="1:11" ht="42" customHeight="1">
      <c r="A2325" s="2" t="s">
        <v>5576</v>
      </c>
      <c r="B2325" s="2" t="s">
        <v>5577</v>
      </c>
      <c r="C2325" s="2" t="s">
        <v>26</v>
      </c>
      <c r="D2325" s="2" t="s">
        <v>27</v>
      </c>
      <c r="E2325" s="5">
        <v>-29698</v>
      </c>
      <c r="F2325" s="3" t="s">
        <v>148</v>
      </c>
      <c r="G2325" s="3" t="s">
        <v>29</v>
      </c>
      <c r="H2325" s="2" t="s">
        <v>36</v>
      </c>
      <c r="I2325" s="2" t="s">
        <v>5578</v>
      </c>
      <c r="J2325" s="3" t="str">
        <f>HYPERLINK("https://www.boe.es/gazeta/dias/1818/09/08/pdfs/GMD-1818-108.pdf#page=4","Abrir facsímil")</f>
        <v>Abrir facsímil</v>
      </c>
      <c r="K2325" s="3" t="s">
        <v>38</v>
      </c>
    </row>
    <row r="2326" spans="1:11" ht="42" customHeight="1">
      <c r="A2326" s="2" t="s">
        <v>5579</v>
      </c>
      <c r="B2326" s="2" t="s">
        <v>5580</v>
      </c>
      <c r="C2326" s="2" t="s">
        <v>17</v>
      </c>
      <c r="D2326" s="2" t="s">
        <v>18</v>
      </c>
      <c r="E2326" s="5">
        <v>-29584</v>
      </c>
      <c r="F2326" s="3" t="s">
        <v>1002</v>
      </c>
      <c r="G2326" s="3" t="s">
        <v>59</v>
      </c>
      <c r="H2326" s="2" t="s">
        <v>36</v>
      </c>
      <c r="I2326" s="2" t="s">
        <v>5581</v>
      </c>
      <c r="J2326" s="3" t="str">
        <f>HYPERLINK("https://www.boe.es/gazeta/dias/1818/12/31/pdfs/GMD-1818-159.pdf#page=6","Abrir facsímil")</f>
        <v>Abrir facsímil</v>
      </c>
      <c r="K2326" s="3" t="s">
        <v>38</v>
      </c>
    </row>
    <row r="2327" spans="1:11" ht="42" customHeight="1">
      <c r="A2327" s="2" t="s">
        <v>5582</v>
      </c>
      <c r="B2327" s="2" t="s">
        <v>5583</v>
      </c>
      <c r="C2327" s="2" t="s">
        <v>26</v>
      </c>
      <c r="D2327" s="2" t="s">
        <v>27</v>
      </c>
      <c r="E2327" s="5">
        <v>-29946</v>
      </c>
      <c r="F2327" s="3" t="s">
        <v>724</v>
      </c>
      <c r="G2327" s="3" t="s">
        <v>20</v>
      </c>
      <c r="H2327" s="2" t="s">
        <v>36</v>
      </c>
      <c r="I2327" s="2" t="s">
        <v>5584</v>
      </c>
      <c r="J2327" s="3" t="str">
        <f>HYPERLINK("https://www.boe.es/gazeta/dias/1818/01/03/pdfs/GMD-1818-2.pdf#page=7","Abrir facsímil")</f>
        <v>Abrir facsímil</v>
      </c>
      <c r="K2327" s="3" t="s">
        <v>38</v>
      </c>
    </row>
    <row r="2328" spans="1:11" ht="42" customHeight="1">
      <c r="A2328" s="2" t="s">
        <v>5585</v>
      </c>
      <c r="B2328" s="2" t="s">
        <v>5586</v>
      </c>
      <c r="C2328" s="2" t="s">
        <v>26</v>
      </c>
      <c r="D2328" s="2" t="s">
        <v>27</v>
      </c>
      <c r="E2328" s="5">
        <v>-29666</v>
      </c>
      <c r="F2328" s="3" t="s">
        <v>258</v>
      </c>
      <c r="G2328" s="3" t="s">
        <v>59</v>
      </c>
      <c r="H2328" s="2" t="s">
        <v>36</v>
      </c>
      <c r="I2328" s="2" t="s">
        <v>5587</v>
      </c>
      <c r="J2328" s="3" t="str">
        <f>HYPERLINK("https://www.boe.es/gazeta/dias/1818/10/10/pdfs/GMD-1818-122.pdf#page=6","Abrir facsímil")</f>
        <v>Abrir facsímil</v>
      </c>
      <c r="K2328" s="3" t="s">
        <v>38</v>
      </c>
    </row>
    <row r="2329" spans="1:11" ht="42" customHeight="1">
      <c r="A2329" s="2" t="s">
        <v>5588</v>
      </c>
      <c r="B2329" s="2" t="s">
        <v>5589</v>
      </c>
      <c r="C2329" s="2" t="s">
        <v>68</v>
      </c>
      <c r="D2329" s="2" t="s">
        <v>69</v>
      </c>
      <c r="E2329" s="5">
        <v>-29936</v>
      </c>
      <c r="F2329" s="3" t="s">
        <v>398</v>
      </c>
      <c r="G2329" s="3" t="s">
        <v>20</v>
      </c>
      <c r="H2329" s="2" t="s">
        <v>21</v>
      </c>
      <c r="I2329" s="2" t="s">
        <v>5590</v>
      </c>
      <c r="J2329" s="3" t="str">
        <f>HYPERLINK("https://www.boe.es/gazeta/dias/1818/01/13/pdfs/GMD-1818-6.pdf#page=7","Abrir facsímil")</f>
        <v>Abrir facsímil</v>
      </c>
      <c r="K2329" s="3" t="s">
        <v>23</v>
      </c>
    </row>
    <row r="2330" spans="1:11" ht="42" customHeight="1">
      <c r="A2330" s="2" t="s">
        <v>5591</v>
      </c>
      <c r="B2330" s="2" t="s">
        <v>5592</v>
      </c>
      <c r="C2330" s="2" t="s">
        <v>97</v>
      </c>
      <c r="D2330" s="2" t="s">
        <v>18</v>
      </c>
      <c r="E2330" s="5">
        <v>-29605</v>
      </c>
      <c r="F2330" s="3" t="s">
        <v>888</v>
      </c>
      <c r="G2330" s="3" t="s">
        <v>891</v>
      </c>
      <c r="H2330" s="2" t="s">
        <v>36</v>
      </c>
      <c r="I2330" s="2" t="s">
        <v>5593</v>
      </c>
      <c r="J2330" s="3" t="str">
        <f>HYPERLINK("https://www.boe.es/gazeta/dias/1818/12/10/pdfs/GMD-1818-149.pdf#page=7","Abrir facsímil")</f>
        <v>Abrir facsímil</v>
      </c>
      <c r="K2330" s="3" t="s">
        <v>38</v>
      </c>
    </row>
    <row r="2331" spans="1:11" ht="42" customHeight="1">
      <c r="A2331" s="2" t="s">
        <v>5594</v>
      </c>
      <c r="B2331" s="2" t="s">
        <v>5595</v>
      </c>
      <c r="C2331" s="2" t="s">
        <v>17</v>
      </c>
      <c r="D2331" s="2" t="s">
        <v>18</v>
      </c>
      <c r="E2331" s="5">
        <v>-29698</v>
      </c>
      <c r="F2331" s="3" t="s">
        <v>148</v>
      </c>
      <c r="G2331" s="3" t="s">
        <v>59</v>
      </c>
      <c r="H2331" s="2" t="s">
        <v>36</v>
      </c>
      <c r="I2331" s="2" t="s">
        <v>5596</v>
      </c>
      <c r="J2331" s="3" t="str">
        <f>HYPERLINK("https://www.boe.es/gazeta/dias/1818/09/08/pdfs/GMD-1818-108.pdf#page=6","Abrir facsímil")</f>
        <v>Abrir facsímil</v>
      </c>
      <c r="K2331" s="3" t="s">
        <v>38</v>
      </c>
    </row>
    <row r="2332" spans="1:11" ht="42" customHeight="1">
      <c r="A2332" s="2" t="s">
        <v>5597</v>
      </c>
      <c r="B2332" s="2" t="s">
        <v>5598</v>
      </c>
      <c r="C2332" s="2" t="s">
        <v>17</v>
      </c>
      <c r="D2332" s="2" t="s">
        <v>18</v>
      </c>
      <c r="E2332" s="5">
        <v>-29698</v>
      </c>
      <c r="F2332" s="3" t="s">
        <v>148</v>
      </c>
      <c r="G2332" s="3" t="s">
        <v>29</v>
      </c>
      <c r="H2332" s="2" t="s">
        <v>36</v>
      </c>
      <c r="I2332" s="2" t="s">
        <v>5599</v>
      </c>
      <c r="J2332" s="3" t="str">
        <f>HYPERLINK("https://www.boe.es/gazeta/dias/1818/09/08/pdfs/GMD-1818-108.pdf#page=4","Abrir facsímil")</f>
        <v>Abrir facsímil</v>
      </c>
      <c r="K2332" s="3" t="s">
        <v>38</v>
      </c>
    </row>
    <row r="2333" spans="1:11" ht="42" customHeight="1">
      <c r="A2333" s="2" t="s">
        <v>5600</v>
      </c>
      <c r="B2333" s="2" t="s">
        <v>5601</v>
      </c>
      <c r="C2333" s="2" t="s">
        <v>63</v>
      </c>
      <c r="D2333" s="2" t="s">
        <v>18</v>
      </c>
      <c r="E2333" s="5">
        <v>-29719</v>
      </c>
      <c r="F2333" s="3" t="s">
        <v>243</v>
      </c>
      <c r="G2333" s="3" t="s">
        <v>2921</v>
      </c>
      <c r="H2333" s="2" t="s">
        <v>36</v>
      </c>
      <c r="I2333" s="2" t="s">
        <v>5602</v>
      </c>
      <c r="J2333" s="3" t="str">
        <f>HYPERLINK("https://www.boe.es/gazeta/dias/1818/08/18/pdfs/GMD-1818-99.pdf#page=12","Abrir facsímil")</f>
        <v>Abrir facsímil</v>
      </c>
      <c r="K2333" s="3" t="s">
        <v>38</v>
      </c>
    </row>
    <row r="2334" spans="1:11" ht="42" customHeight="1">
      <c r="A2334" s="2" t="s">
        <v>5603</v>
      </c>
      <c r="B2334" s="2" t="s">
        <v>5604</v>
      </c>
      <c r="C2334" s="2" t="s">
        <v>215</v>
      </c>
      <c r="D2334" s="2" t="s">
        <v>18</v>
      </c>
      <c r="E2334" s="5">
        <v>-29743</v>
      </c>
      <c r="F2334" s="3" t="s">
        <v>734</v>
      </c>
      <c r="G2334" s="3" t="s">
        <v>45</v>
      </c>
      <c r="H2334" s="2" t="s">
        <v>36</v>
      </c>
      <c r="I2334" s="2" t="s">
        <v>5605</v>
      </c>
      <c r="J2334" s="3" t="str">
        <f>HYPERLINK("https://www.boe.es/gazeta/dias/1818/07/25/pdfs/GMD-1818-89.pdf#page=8","Abrir facsímil")</f>
        <v>Abrir facsímil</v>
      </c>
      <c r="K2334" s="3" t="s">
        <v>38</v>
      </c>
    </row>
    <row r="2335" spans="1:11" ht="42" customHeight="1">
      <c r="A2335" s="2" t="s">
        <v>5606</v>
      </c>
      <c r="B2335" s="2" t="s">
        <v>5607</v>
      </c>
      <c r="C2335" s="2" t="s">
        <v>26</v>
      </c>
      <c r="D2335" s="2" t="s">
        <v>27</v>
      </c>
      <c r="E2335" s="5">
        <v>-29894</v>
      </c>
      <c r="F2335" s="3" t="s">
        <v>820</v>
      </c>
      <c r="G2335" s="3" t="s">
        <v>20</v>
      </c>
      <c r="H2335" s="2" t="s">
        <v>36</v>
      </c>
      <c r="I2335" s="2" t="s">
        <v>5608</v>
      </c>
      <c r="J2335" s="3" t="str">
        <f>HYPERLINK("https://www.boe.es/gazeta/dias/1818/02/24/pdfs/GMD-1818-24.pdf#page=7","Abrir facsímil")</f>
        <v>Abrir facsímil</v>
      </c>
      <c r="K2335" s="3" t="s">
        <v>38</v>
      </c>
    </row>
    <row r="2336" spans="1:11" ht="42" customHeight="1">
      <c r="A2336" s="2" t="s">
        <v>5609</v>
      </c>
      <c r="B2336" s="2" t="s">
        <v>5609</v>
      </c>
      <c r="C2336" s="2" t="s">
        <v>68</v>
      </c>
      <c r="D2336" s="2" t="s">
        <v>69</v>
      </c>
      <c r="E2336" s="5">
        <v>-29824</v>
      </c>
      <c r="F2336" s="3" t="s">
        <v>101</v>
      </c>
      <c r="G2336" s="3" t="s">
        <v>106</v>
      </c>
      <c r="H2336" s="2" t="s">
        <v>36</v>
      </c>
      <c r="I2336" s="2" t="s">
        <v>5610</v>
      </c>
      <c r="J2336" s="3" t="str">
        <f>HYPERLINK("https://www.boe.es/gazeta/dias/1818/05/05/pdfs/GMD-1818-54.pdf#page=5","Abrir facsímil")</f>
        <v>Abrir facsímil</v>
      </c>
      <c r="K2336" s="3" t="s">
        <v>38</v>
      </c>
    </row>
    <row r="2337" spans="1:11" ht="42" customHeight="1">
      <c r="A2337" s="2" t="s">
        <v>5611</v>
      </c>
      <c r="B2337" s="2" t="s">
        <v>5612</v>
      </c>
      <c r="C2337" s="2" t="s">
        <v>26</v>
      </c>
      <c r="D2337" s="2" t="s">
        <v>27</v>
      </c>
      <c r="E2337" s="5">
        <v>-29731</v>
      </c>
      <c r="F2337" s="3" t="s">
        <v>299</v>
      </c>
      <c r="G2337" s="3" t="s">
        <v>59</v>
      </c>
      <c r="H2337" s="2" t="s">
        <v>36</v>
      </c>
      <c r="I2337" s="2" t="s">
        <v>5613</v>
      </c>
      <c r="J2337" s="3" t="str">
        <f>HYPERLINK("https://www.boe.es/gazeta/dias/1818/08/06/pdfs/GMD-1818-94.pdf#page=6","Abrir facsímil")</f>
        <v>Abrir facsímil</v>
      </c>
      <c r="K2337" s="3" t="s">
        <v>38</v>
      </c>
    </row>
    <row r="2338" spans="1:11" ht="42" customHeight="1">
      <c r="A2338" s="2" t="s">
        <v>5614</v>
      </c>
      <c r="B2338" s="2" t="s">
        <v>5615</v>
      </c>
      <c r="C2338" s="2" t="s">
        <v>17</v>
      </c>
      <c r="D2338" s="2" t="s">
        <v>18</v>
      </c>
      <c r="E2338" s="5">
        <v>-29736</v>
      </c>
      <c r="F2338" s="3" t="s">
        <v>581</v>
      </c>
      <c r="G2338" s="3" t="s">
        <v>59</v>
      </c>
      <c r="H2338" s="2" t="s">
        <v>21</v>
      </c>
      <c r="I2338" s="2" t="s">
        <v>5616</v>
      </c>
      <c r="J2338" s="3" t="str">
        <f>HYPERLINK("https://www.boe.es/gazeta/dias/1818/08/01/pdfs/GMD-1818-92.pdf#page=6","Abrir facsímil")</f>
        <v>Abrir facsímil</v>
      </c>
      <c r="K2338" s="3" t="s">
        <v>23</v>
      </c>
    </row>
    <row r="2339" spans="1:11" ht="42" customHeight="1">
      <c r="A2339" s="2" t="s">
        <v>5617</v>
      </c>
      <c r="B2339" s="2" t="s">
        <v>5617</v>
      </c>
      <c r="C2339" s="2" t="s">
        <v>26</v>
      </c>
      <c r="D2339" s="2" t="s">
        <v>27</v>
      </c>
      <c r="E2339" s="5">
        <v>-29915</v>
      </c>
      <c r="F2339" s="3" t="s">
        <v>429</v>
      </c>
      <c r="G2339" s="3" t="s">
        <v>85</v>
      </c>
      <c r="H2339" s="2" t="s">
        <v>36</v>
      </c>
      <c r="I2339" s="2" t="s">
        <v>5618</v>
      </c>
      <c r="J2339" s="3" t="str">
        <f>HYPERLINK("https://www.boe.es/gazeta/dias/1818/02/03/pdfs/GMD-1818-15.pdf#page=3","Abrir facsímil")</f>
        <v>Abrir facsímil</v>
      </c>
      <c r="K2339" s="3" t="s">
        <v>38</v>
      </c>
    </row>
    <row r="2340" spans="1:11" ht="42" customHeight="1">
      <c r="A2340" s="2" t="s">
        <v>5619</v>
      </c>
      <c r="B2340" s="2" t="s">
        <v>5619</v>
      </c>
      <c r="C2340" s="2" t="s">
        <v>17</v>
      </c>
      <c r="D2340" s="2" t="s">
        <v>18</v>
      </c>
      <c r="E2340" s="5">
        <v>-29817</v>
      </c>
      <c r="F2340" s="3" t="s">
        <v>284</v>
      </c>
      <c r="G2340" s="3" t="s">
        <v>29</v>
      </c>
      <c r="H2340" s="2" t="s">
        <v>36</v>
      </c>
      <c r="I2340" s="2" t="s">
        <v>5620</v>
      </c>
      <c r="J2340" s="3" t="str">
        <f>HYPERLINK("https://www.boe.es/gazeta/dias/1818/05/12/pdfs/GMD-1818-57.pdf#page=4","Abrir facsímil")</f>
        <v>Abrir facsímil</v>
      </c>
      <c r="K2340" s="3" t="s">
        <v>38</v>
      </c>
    </row>
    <row r="2341" spans="1:11" ht="42" customHeight="1">
      <c r="A2341" s="2" t="s">
        <v>5621</v>
      </c>
      <c r="B2341" s="2" t="s">
        <v>5621</v>
      </c>
      <c r="C2341" s="2" t="s">
        <v>26</v>
      </c>
      <c r="D2341" s="2" t="s">
        <v>27</v>
      </c>
      <c r="E2341" s="5">
        <v>-29642</v>
      </c>
      <c r="F2341" s="3" t="s">
        <v>248</v>
      </c>
      <c r="G2341" s="3" t="s">
        <v>49</v>
      </c>
      <c r="H2341" s="2" t="s">
        <v>36</v>
      </c>
      <c r="I2341" s="2" t="s">
        <v>5622</v>
      </c>
      <c r="J2341" s="3" t="str">
        <f>HYPERLINK("https://www.boe.es/gazeta/dias/1818/11/03/pdfs/GMD-1818-133.pdf#page=1","Abrir facsímil")</f>
        <v>Abrir facsímil</v>
      </c>
      <c r="K2341" s="3" t="s">
        <v>38</v>
      </c>
    </row>
    <row r="2342" spans="1:11" ht="42" customHeight="1">
      <c r="A2342" s="2" t="s">
        <v>5623</v>
      </c>
      <c r="B2342" s="2" t="s">
        <v>5624</v>
      </c>
      <c r="C2342" s="2" t="s">
        <v>57</v>
      </c>
      <c r="D2342" s="2" t="s">
        <v>18</v>
      </c>
      <c r="E2342" s="5">
        <v>-29743</v>
      </c>
      <c r="F2342" s="3" t="s">
        <v>734</v>
      </c>
      <c r="G2342" s="3" t="s">
        <v>45</v>
      </c>
      <c r="H2342" s="2" t="s">
        <v>36</v>
      </c>
      <c r="I2342" s="2" t="s">
        <v>5625</v>
      </c>
      <c r="J2342" s="3" t="str">
        <f>HYPERLINK("https://www.boe.es/gazeta/dias/1818/07/25/pdfs/GMD-1818-89.pdf#page=8","Abrir facsímil")</f>
        <v>Abrir facsímil</v>
      </c>
      <c r="K2342" s="3" t="s">
        <v>38</v>
      </c>
    </row>
    <row r="2343" spans="1:11" ht="42" customHeight="1">
      <c r="A2343" s="2" t="s">
        <v>5623</v>
      </c>
      <c r="B2343" s="2" t="s">
        <v>5624</v>
      </c>
      <c r="C2343" s="2" t="s">
        <v>57</v>
      </c>
      <c r="D2343" s="2" t="s">
        <v>18</v>
      </c>
      <c r="E2343" s="5">
        <v>-29682</v>
      </c>
      <c r="F2343" s="3" t="s">
        <v>170</v>
      </c>
      <c r="G2343" s="3" t="s">
        <v>45</v>
      </c>
      <c r="H2343" s="2" t="s">
        <v>36</v>
      </c>
      <c r="I2343" s="2" t="s">
        <v>5626</v>
      </c>
      <c r="J2343" s="3" t="str">
        <f>HYPERLINK("https://www.boe.es/gazeta/dias/1818/09/24/pdfs/GMD-1818-115.pdf#page=8","Abrir facsímil")</f>
        <v>Abrir facsímil</v>
      </c>
      <c r="K2343" s="3" t="s">
        <v>38</v>
      </c>
    </row>
    <row r="2344" spans="1:11" ht="42" customHeight="1">
      <c r="A2344" s="2" t="s">
        <v>5623</v>
      </c>
      <c r="B2344" s="2" t="s">
        <v>5624</v>
      </c>
      <c r="C2344" s="2" t="s">
        <v>57</v>
      </c>
      <c r="D2344" s="2" t="s">
        <v>18</v>
      </c>
      <c r="E2344" s="5">
        <v>-29659</v>
      </c>
      <c r="F2344" s="3" t="s">
        <v>1690</v>
      </c>
      <c r="G2344" s="3" t="s">
        <v>1691</v>
      </c>
      <c r="H2344" s="2" t="s">
        <v>36</v>
      </c>
      <c r="I2344" s="2" t="s">
        <v>5627</v>
      </c>
      <c r="J2344" s="3" t="str">
        <f>HYPERLINK("https://www.boe.es/gazeta/dias/1818/10/17/pdfs/GMD-1818-126.pdf#page=8","Abrir facsímil")</f>
        <v>Abrir facsímil</v>
      </c>
      <c r="K2344" s="3" t="s">
        <v>38</v>
      </c>
    </row>
    <row r="2345" spans="1:11" ht="42" customHeight="1">
      <c r="A2345" s="2" t="s">
        <v>5628</v>
      </c>
      <c r="B2345" s="2" t="s">
        <v>5629</v>
      </c>
      <c r="C2345" s="2" t="s">
        <v>26</v>
      </c>
      <c r="D2345" s="2" t="s">
        <v>27</v>
      </c>
      <c r="E2345" s="5">
        <v>-29920</v>
      </c>
      <c r="F2345" s="3" t="s">
        <v>201</v>
      </c>
      <c r="G2345" s="3" t="s">
        <v>111</v>
      </c>
      <c r="H2345" s="2" t="s">
        <v>36</v>
      </c>
      <c r="I2345" s="2" t="s">
        <v>5630</v>
      </c>
      <c r="J2345" s="3" t="str">
        <f>HYPERLINK("https://www.boe.es/gazeta/dias/1818/01/29/pdfs/GMD-1818-13.pdf#page=11","Abrir facsímil")</f>
        <v>Abrir facsímil</v>
      </c>
      <c r="K2345" s="3" t="s">
        <v>38</v>
      </c>
    </row>
    <row r="2346" spans="1:11" ht="42" customHeight="1">
      <c r="A2346" s="2" t="s">
        <v>5631</v>
      </c>
      <c r="B2346" s="2" t="s">
        <v>5632</v>
      </c>
      <c r="C2346" s="2" t="s">
        <v>63</v>
      </c>
      <c r="D2346" s="2" t="s">
        <v>18</v>
      </c>
      <c r="E2346" s="5">
        <v>-29855</v>
      </c>
      <c r="F2346" s="3" t="s">
        <v>676</v>
      </c>
      <c r="G2346" s="3" t="s">
        <v>45</v>
      </c>
      <c r="H2346" s="2" t="s">
        <v>36</v>
      </c>
      <c r="I2346" s="2" t="s">
        <v>5633</v>
      </c>
      <c r="J2346" s="3" t="str">
        <f>HYPERLINK("https://www.boe.es/gazeta/dias/1818/04/04/pdfs/GMD-1818-41.pdf#page=8","Abrir facsímil")</f>
        <v>Abrir facsímil</v>
      </c>
      <c r="K2346" s="3" t="s">
        <v>38</v>
      </c>
    </row>
    <row r="2347" spans="1:11" ht="42" customHeight="1">
      <c r="A2347" s="2" t="s">
        <v>5634</v>
      </c>
      <c r="B2347" s="2" t="s">
        <v>5635</v>
      </c>
      <c r="C2347" s="2" t="s">
        <v>17</v>
      </c>
      <c r="D2347" s="2" t="s">
        <v>18</v>
      </c>
      <c r="E2347" s="5">
        <v>-29806</v>
      </c>
      <c r="F2347" s="3" t="s">
        <v>84</v>
      </c>
      <c r="G2347" s="3" t="s">
        <v>29</v>
      </c>
      <c r="H2347" s="2" t="s">
        <v>36</v>
      </c>
      <c r="I2347" s="2" t="s">
        <v>5636</v>
      </c>
      <c r="J2347" s="3" t="str">
        <f>HYPERLINK("https://www.boe.es/gazeta/dias/1818/05/23/pdfs/GMD-1818-62.pdf#page=4","Abrir facsímil")</f>
        <v>Abrir facsímil</v>
      </c>
      <c r="K2347" s="3" t="s">
        <v>38</v>
      </c>
    </row>
    <row r="2348" spans="1:11" ht="42" customHeight="1">
      <c r="A2348" s="2" t="s">
        <v>5637</v>
      </c>
      <c r="B2348" s="2" t="s">
        <v>5638</v>
      </c>
      <c r="C2348" s="2" t="s">
        <v>68</v>
      </c>
      <c r="D2348" s="2" t="s">
        <v>69</v>
      </c>
      <c r="E2348" s="5">
        <v>-29605</v>
      </c>
      <c r="F2348" s="3" t="s">
        <v>888</v>
      </c>
      <c r="G2348" s="3" t="s">
        <v>106</v>
      </c>
      <c r="H2348" s="2" t="s">
        <v>36</v>
      </c>
      <c r="I2348" s="2" t="s">
        <v>5639</v>
      </c>
      <c r="J2348" s="3" t="str">
        <f>HYPERLINK("https://www.boe.es/gazeta/dias/1818/12/10/pdfs/GMD-1818-149.pdf#page=5","Abrir facsímil")</f>
        <v>Abrir facsímil</v>
      </c>
      <c r="K2348" s="3" t="s">
        <v>38</v>
      </c>
    </row>
    <row r="2349" spans="1:11" ht="42" customHeight="1">
      <c r="A2349" s="2" t="s">
        <v>5640</v>
      </c>
      <c r="B2349" s="2" t="s">
        <v>5641</v>
      </c>
      <c r="C2349" s="2" t="s">
        <v>68</v>
      </c>
      <c r="D2349" s="2" t="s">
        <v>69</v>
      </c>
      <c r="E2349" s="5">
        <v>-29841</v>
      </c>
      <c r="F2349" s="3" t="s">
        <v>19</v>
      </c>
      <c r="G2349" s="3" t="s">
        <v>45</v>
      </c>
      <c r="H2349" s="2" t="s">
        <v>36</v>
      </c>
      <c r="I2349" s="2" t="s">
        <v>5642</v>
      </c>
      <c r="J2349" s="3" t="str">
        <f>HYPERLINK("https://www.boe.es/gazeta/dias/1818/04/18/pdfs/GMD-1818-47.pdf#page=8","Abrir facsímil")</f>
        <v>Abrir facsímil</v>
      </c>
      <c r="K2349" s="3" t="s">
        <v>38</v>
      </c>
    </row>
    <row r="2350" spans="1:11" ht="42" customHeight="1">
      <c r="A2350" s="2" t="s">
        <v>5643</v>
      </c>
      <c r="B2350" s="2" t="s">
        <v>5643</v>
      </c>
      <c r="C2350" s="2" t="s">
        <v>63</v>
      </c>
      <c r="D2350" s="2" t="s">
        <v>18</v>
      </c>
      <c r="E2350" s="5">
        <v>-29586</v>
      </c>
      <c r="F2350" s="3" t="s">
        <v>683</v>
      </c>
      <c r="G2350" s="3" t="s">
        <v>45</v>
      </c>
      <c r="H2350" s="2" t="s">
        <v>36</v>
      </c>
      <c r="I2350" s="2" t="s">
        <v>5644</v>
      </c>
      <c r="J2350" s="3" t="str">
        <f>HYPERLINK("https://www.boe.es/gazeta/dias/1818/12/29/pdfs/GMD-1818-158.pdf#page=8","Abrir facsímil")</f>
        <v>Abrir facsímil</v>
      </c>
      <c r="K2350" s="3" t="s">
        <v>38</v>
      </c>
    </row>
    <row r="2351" spans="1:11" ht="42" customHeight="1">
      <c r="A2351" s="2" t="s">
        <v>5645</v>
      </c>
      <c r="B2351" s="2" t="s">
        <v>5646</v>
      </c>
      <c r="C2351" s="2" t="s">
        <v>17</v>
      </c>
      <c r="D2351" s="2" t="s">
        <v>18</v>
      </c>
      <c r="E2351" s="5">
        <v>-29584</v>
      </c>
      <c r="F2351" s="3" t="s">
        <v>1002</v>
      </c>
      <c r="G2351" s="3" t="s">
        <v>59</v>
      </c>
      <c r="H2351" s="2" t="s">
        <v>36</v>
      </c>
      <c r="I2351" s="2" t="s">
        <v>5647</v>
      </c>
      <c r="J2351" s="3" t="str">
        <f>HYPERLINK("https://www.boe.es/gazeta/dias/1818/12/31/pdfs/GMD-1818-159.pdf#page=6","Abrir facsímil")</f>
        <v>Abrir facsímil</v>
      </c>
      <c r="K2351" s="3" t="s">
        <v>38</v>
      </c>
    </row>
    <row r="2352" spans="1:11" ht="42" customHeight="1">
      <c r="A2352" s="2" t="s">
        <v>5648</v>
      </c>
      <c r="B2352" s="2" t="s">
        <v>5649</v>
      </c>
      <c r="C2352" s="2" t="s">
        <v>63</v>
      </c>
      <c r="D2352" s="2" t="s">
        <v>18</v>
      </c>
      <c r="E2352" s="5">
        <v>-29701</v>
      </c>
      <c r="F2352" s="3" t="s">
        <v>596</v>
      </c>
      <c r="G2352" s="3" t="s">
        <v>59</v>
      </c>
      <c r="H2352" s="2" t="s">
        <v>21</v>
      </c>
      <c r="I2352" s="2" t="s">
        <v>5650</v>
      </c>
      <c r="J2352" s="3" t="str">
        <f>HYPERLINK("https://www.boe.es/gazeta/dias/1818/09/05/pdfs/GMD-1818-107.pdf#page=6","Abrir facsímil")</f>
        <v>Abrir facsímil</v>
      </c>
      <c r="K2352" s="3" t="s">
        <v>23</v>
      </c>
    </row>
    <row r="2353" spans="1:11" ht="42" customHeight="1">
      <c r="A2353" s="2" t="s">
        <v>5651</v>
      </c>
      <c r="B2353" s="2" t="s">
        <v>5652</v>
      </c>
      <c r="C2353" s="2" t="s">
        <v>26</v>
      </c>
      <c r="D2353" s="2" t="s">
        <v>27</v>
      </c>
      <c r="E2353" s="5">
        <v>-29897</v>
      </c>
      <c r="F2353" s="3" t="s">
        <v>318</v>
      </c>
      <c r="G2353" s="3" t="s">
        <v>106</v>
      </c>
      <c r="H2353" s="2" t="s">
        <v>36</v>
      </c>
      <c r="I2353" s="2" t="s">
        <v>5653</v>
      </c>
      <c r="J2353" s="3" t="str">
        <f>HYPERLINK("https://www.boe.es/gazeta/dias/1818/02/21/pdfs/GMD-1818-23.pdf#page=5","Abrir facsímil")</f>
        <v>Abrir facsímil</v>
      </c>
      <c r="K2353" s="3" t="s">
        <v>38</v>
      </c>
    </row>
    <row r="2354" spans="1:11" ht="42" customHeight="1">
      <c r="A2354" s="2" t="s">
        <v>5654</v>
      </c>
      <c r="B2354" s="2" t="s">
        <v>5655</v>
      </c>
      <c r="C2354" s="2" t="s">
        <v>26</v>
      </c>
      <c r="D2354" s="2" t="s">
        <v>27</v>
      </c>
      <c r="E2354" s="5">
        <v>-29722</v>
      </c>
      <c r="F2354" s="3" t="s">
        <v>1127</v>
      </c>
      <c r="G2354" s="3" t="s">
        <v>106</v>
      </c>
      <c r="H2354" s="2" t="s">
        <v>36</v>
      </c>
      <c r="I2354" s="2" t="s">
        <v>5656</v>
      </c>
      <c r="J2354" s="3" t="str">
        <f>HYPERLINK("https://www.boe.es/gazeta/dias/1818/08/15/pdfs/GMD-1818-98.pdf#page=5","Abrir facsímil")</f>
        <v>Abrir facsímil</v>
      </c>
      <c r="K2354" s="3" t="s">
        <v>38</v>
      </c>
    </row>
    <row r="2355" spans="1:11" ht="42" customHeight="1">
      <c r="A2355" s="2" t="s">
        <v>5657</v>
      </c>
      <c r="B2355" s="2" t="s">
        <v>5657</v>
      </c>
      <c r="C2355" s="2" t="s">
        <v>26</v>
      </c>
      <c r="D2355" s="2" t="s">
        <v>27</v>
      </c>
      <c r="E2355" s="5">
        <v>-29761</v>
      </c>
      <c r="F2355" s="3" t="s">
        <v>168</v>
      </c>
      <c r="G2355" s="3" t="s">
        <v>1601</v>
      </c>
      <c r="H2355" s="2" t="s">
        <v>36</v>
      </c>
      <c r="I2355" s="2" t="s">
        <v>5658</v>
      </c>
      <c r="J2355" s="3" t="str">
        <f>HYPERLINK("https://www.boe.es/gazeta/dias/1818/07/07/pdfs/GMD-1818-81.pdf#page=4","Abrir facsímil")</f>
        <v>Abrir facsímil</v>
      </c>
      <c r="K2355" s="3" t="s">
        <v>38</v>
      </c>
    </row>
    <row r="2356" spans="1:11" ht="42" customHeight="1">
      <c r="A2356" s="2" t="s">
        <v>5659</v>
      </c>
      <c r="B2356" s="2" t="s">
        <v>5660</v>
      </c>
      <c r="C2356" s="2" t="s">
        <v>26</v>
      </c>
      <c r="D2356" s="2" t="s">
        <v>27</v>
      </c>
      <c r="E2356" s="5">
        <v>-29761</v>
      </c>
      <c r="F2356" s="3" t="s">
        <v>168</v>
      </c>
      <c r="G2356" s="3" t="s">
        <v>1601</v>
      </c>
      <c r="H2356" s="2" t="s">
        <v>36</v>
      </c>
      <c r="I2356" s="2" t="s">
        <v>5661</v>
      </c>
      <c r="J2356" s="3" t="str">
        <f>HYPERLINK("https://www.boe.es/gazeta/dias/1818/07/07/pdfs/GMD-1818-81.pdf#page=4","Abrir facsímil")</f>
        <v>Abrir facsímil</v>
      </c>
      <c r="K2356" s="3" t="s">
        <v>38</v>
      </c>
    </row>
    <row r="2357" spans="1:11" ht="42" customHeight="1">
      <c r="A2357" s="2" t="s">
        <v>5659</v>
      </c>
      <c r="B2357" s="2" t="s">
        <v>5660</v>
      </c>
      <c r="C2357" s="2" t="s">
        <v>26</v>
      </c>
      <c r="D2357" s="2" t="s">
        <v>27</v>
      </c>
      <c r="E2357" s="5">
        <v>-29761</v>
      </c>
      <c r="F2357" s="3" t="s">
        <v>168</v>
      </c>
      <c r="G2357" s="3" t="s">
        <v>106</v>
      </c>
      <c r="H2357" s="2" t="s">
        <v>36</v>
      </c>
      <c r="I2357" s="2" t="s">
        <v>5662</v>
      </c>
      <c r="J2357" s="3" t="str">
        <f>HYPERLINK("https://www.boe.es/gazeta/dias/1818/07/07/pdfs/GMD-1818-81.pdf#page=5","Abrir facsímil")</f>
        <v>Abrir facsímil</v>
      </c>
      <c r="K2357" s="3" t="s">
        <v>38</v>
      </c>
    </row>
    <row r="2358" spans="1:11" ht="42" customHeight="1">
      <c r="A2358" s="2" t="s">
        <v>5663</v>
      </c>
      <c r="B2358" s="2" t="s">
        <v>5664</v>
      </c>
      <c r="C2358" s="2" t="s">
        <v>33</v>
      </c>
      <c r="D2358" s="2" t="s">
        <v>18</v>
      </c>
      <c r="E2358" s="5">
        <v>-29684</v>
      </c>
      <c r="F2358" s="3" t="s">
        <v>311</v>
      </c>
      <c r="G2358" s="3" t="s">
        <v>45</v>
      </c>
      <c r="H2358" s="2" t="s">
        <v>36</v>
      </c>
      <c r="I2358" s="2" t="s">
        <v>5665</v>
      </c>
      <c r="J2358" s="3" t="str">
        <f>HYPERLINK("https://www.boe.es/gazeta/dias/1818/09/22/pdfs/GMD-1818-114.pdf#page=8","Abrir facsímil")</f>
        <v>Abrir facsímil</v>
      </c>
      <c r="K2358" s="3" t="s">
        <v>38</v>
      </c>
    </row>
    <row r="2359" spans="1:11" ht="42" customHeight="1">
      <c r="A2359" s="2" t="s">
        <v>5666</v>
      </c>
      <c r="B2359" s="2" t="s">
        <v>5667</v>
      </c>
      <c r="C2359" s="2" t="s">
        <v>57</v>
      </c>
      <c r="D2359" s="2" t="s">
        <v>18</v>
      </c>
      <c r="E2359" s="5">
        <v>-29677</v>
      </c>
      <c r="F2359" s="3" t="s">
        <v>157</v>
      </c>
      <c r="G2359" s="3" t="s">
        <v>158</v>
      </c>
      <c r="H2359" s="2" t="s">
        <v>21</v>
      </c>
      <c r="I2359" s="2" t="s">
        <v>5668</v>
      </c>
      <c r="J2359" s="3" t="str">
        <f>HYPERLINK("https://www.boe.es/gazeta/dias/1818/09/29/pdfs/GMD-1818-117.pdf#page=8","Abrir facsímil")</f>
        <v>Abrir facsímil</v>
      </c>
      <c r="K2359" s="3" t="s">
        <v>23</v>
      </c>
    </row>
    <row r="2360" spans="1:11" ht="42" customHeight="1">
      <c r="A2360" s="2" t="s">
        <v>5669</v>
      </c>
      <c r="B2360" s="2" t="s">
        <v>5670</v>
      </c>
      <c r="C2360" s="2" t="s">
        <v>68</v>
      </c>
      <c r="D2360" s="2" t="s">
        <v>69</v>
      </c>
      <c r="E2360" s="5">
        <v>-29680</v>
      </c>
      <c r="F2360" s="3" t="s">
        <v>865</v>
      </c>
      <c r="G2360" s="3" t="s">
        <v>45</v>
      </c>
      <c r="H2360" s="2" t="s">
        <v>21</v>
      </c>
      <c r="I2360" s="2" t="s">
        <v>5671</v>
      </c>
      <c r="J2360" s="3" t="str">
        <f>HYPERLINK("https://www.boe.es/gazeta/dias/1818/09/26/pdfs/GMD-1818-116.pdf#page=8","Abrir facsímil")</f>
        <v>Abrir facsímil</v>
      </c>
      <c r="K2360" s="3" t="s">
        <v>23</v>
      </c>
    </row>
    <row r="2361" spans="1:11" ht="42" customHeight="1">
      <c r="A2361" s="2" t="s">
        <v>5672</v>
      </c>
      <c r="B2361" s="2" t="s">
        <v>5673</v>
      </c>
      <c r="C2361" s="2" t="s">
        <v>68</v>
      </c>
      <c r="D2361" s="2" t="s">
        <v>69</v>
      </c>
      <c r="E2361" s="5">
        <v>-29852</v>
      </c>
      <c r="F2361" s="3" t="s">
        <v>327</v>
      </c>
      <c r="G2361" s="3" t="s">
        <v>20</v>
      </c>
      <c r="H2361" s="2" t="s">
        <v>36</v>
      </c>
      <c r="I2361" s="2" t="s">
        <v>5674</v>
      </c>
      <c r="J2361" s="3" t="str">
        <f>HYPERLINK("https://www.boe.es/gazeta/dias/1818/04/07/pdfs/GMD-1818-42.pdf#page=7","Abrir facsímil")</f>
        <v>Abrir facsímil</v>
      </c>
      <c r="K2361" s="3" t="s">
        <v>38</v>
      </c>
    </row>
    <row r="2362" spans="1:11" ht="42" customHeight="1">
      <c r="A2362" s="2" t="s">
        <v>5675</v>
      </c>
      <c r="B2362" s="2" t="s">
        <v>5676</v>
      </c>
      <c r="C2362" s="2" t="s">
        <v>68</v>
      </c>
      <c r="D2362" s="2" t="s">
        <v>69</v>
      </c>
      <c r="E2362" s="5">
        <v>-29619</v>
      </c>
      <c r="F2362" s="3" t="s">
        <v>64</v>
      </c>
      <c r="G2362" s="3" t="s">
        <v>45</v>
      </c>
      <c r="H2362" s="2" t="s">
        <v>36</v>
      </c>
      <c r="I2362" s="2" t="s">
        <v>5677</v>
      </c>
      <c r="J2362" s="3" t="str">
        <f>HYPERLINK("https://www.boe.es/gazeta/dias/1818/11/26/pdfs/GMD-1818-143.pdf#page=8","Abrir facsímil")</f>
        <v>Abrir facsímil</v>
      </c>
      <c r="K2362" s="3" t="s">
        <v>38</v>
      </c>
    </row>
    <row r="2363" spans="1:11" ht="42" customHeight="1">
      <c r="A2363" s="2" t="s">
        <v>5678</v>
      </c>
      <c r="B2363" s="2" t="s">
        <v>5679</v>
      </c>
      <c r="C2363" s="2" t="s">
        <v>17</v>
      </c>
      <c r="D2363" s="2" t="s">
        <v>18</v>
      </c>
      <c r="E2363" s="5">
        <v>-29631</v>
      </c>
      <c r="F2363" s="3" t="s">
        <v>743</v>
      </c>
      <c r="G2363" s="3" t="s">
        <v>85</v>
      </c>
      <c r="H2363" s="2" t="s">
        <v>36</v>
      </c>
      <c r="I2363" s="2" t="s">
        <v>5680</v>
      </c>
      <c r="J2363" s="3" t="str">
        <f>HYPERLINK("https://www.boe.es/gazeta/dias/1818/11/14/pdfs/GMD-1818-138.pdf#page=3","Abrir facsímil")</f>
        <v>Abrir facsímil</v>
      </c>
      <c r="K2363" s="3" t="s">
        <v>38</v>
      </c>
    </row>
    <row r="2364" spans="1:11" ht="42" customHeight="1">
      <c r="A2364" s="2" t="s">
        <v>5681</v>
      </c>
      <c r="B2364" s="2" t="s">
        <v>5681</v>
      </c>
      <c r="C2364" s="2" t="s">
        <v>68</v>
      </c>
      <c r="D2364" s="2" t="s">
        <v>69</v>
      </c>
      <c r="E2364" s="5">
        <v>-29789</v>
      </c>
      <c r="F2364" s="3" t="s">
        <v>937</v>
      </c>
      <c r="G2364" s="3" t="s">
        <v>20</v>
      </c>
      <c r="H2364" s="2" t="s">
        <v>36</v>
      </c>
      <c r="I2364" s="2" t="s">
        <v>5682</v>
      </c>
      <c r="J2364" s="3" t="str">
        <f>HYPERLINK("https://www.boe.es/gazeta/dias/1818/06/09/pdfs/GMD-1818-69.pdf#page=7","Abrir facsímil")</f>
        <v>Abrir facsímil</v>
      </c>
      <c r="K2364" s="3" t="s">
        <v>38</v>
      </c>
    </row>
    <row r="2365" spans="1:11" ht="42" customHeight="1">
      <c r="A2365" s="2" t="s">
        <v>5683</v>
      </c>
      <c r="B2365" s="2" t="s">
        <v>5684</v>
      </c>
      <c r="C2365" s="2" t="s">
        <v>26</v>
      </c>
      <c r="D2365" s="2" t="s">
        <v>27</v>
      </c>
      <c r="E2365" s="5">
        <v>-29878</v>
      </c>
      <c r="F2365" s="3" t="s">
        <v>353</v>
      </c>
      <c r="G2365" s="3" t="s">
        <v>29</v>
      </c>
      <c r="H2365" s="2" t="s">
        <v>36</v>
      </c>
      <c r="I2365" s="2" t="s">
        <v>5685</v>
      </c>
      <c r="J2365" s="3" t="str">
        <f>HYPERLINK("https://www.boe.es/gazeta/dias/1818/03/12/pdfs/GMD-1818-31.pdf#page=4","Abrir facsímil")</f>
        <v>Abrir facsímil</v>
      </c>
      <c r="K2365" s="3" t="s">
        <v>38</v>
      </c>
    </row>
    <row r="2366" spans="1:11" ht="42" customHeight="1">
      <c r="A2366" s="2" t="s">
        <v>5686</v>
      </c>
      <c r="B2366" s="2" t="s">
        <v>5686</v>
      </c>
      <c r="C2366" s="2" t="s">
        <v>68</v>
      </c>
      <c r="D2366" s="2" t="s">
        <v>69</v>
      </c>
      <c r="E2366" s="5">
        <v>-29822</v>
      </c>
      <c r="F2366" s="3" t="s">
        <v>373</v>
      </c>
      <c r="G2366" s="3" t="s">
        <v>20</v>
      </c>
      <c r="H2366" s="2" t="s">
        <v>36</v>
      </c>
      <c r="I2366" s="2" t="s">
        <v>5687</v>
      </c>
      <c r="J2366" s="3" t="str">
        <f>HYPERLINK("https://www.boe.es/gazeta/dias/1818/05/07/pdfs/GMD-1818-55.pdf#page=7","Abrir facsímil")</f>
        <v>Abrir facsímil</v>
      </c>
      <c r="K2366" s="3" t="s">
        <v>38</v>
      </c>
    </row>
    <row r="2367" spans="1:11" ht="42" customHeight="1">
      <c r="A2367" s="2" t="s">
        <v>5688</v>
      </c>
      <c r="B2367" s="2" t="s">
        <v>5688</v>
      </c>
      <c r="C2367" s="2" t="s">
        <v>68</v>
      </c>
      <c r="D2367" s="2" t="s">
        <v>69</v>
      </c>
      <c r="E2367" s="5">
        <v>-29752</v>
      </c>
      <c r="F2367" s="3" t="s">
        <v>165</v>
      </c>
      <c r="G2367" s="3" t="s">
        <v>45</v>
      </c>
      <c r="H2367" s="2" t="s">
        <v>36</v>
      </c>
      <c r="I2367" s="2" t="s">
        <v>5689</v>
      </c>
      <c r="J2367" s="3" t="str">
        <f>HYPERLINK("https://www.boe.es/gazeta/dias/1818/07/16/pdfs/GMD-1818-85.pdf#page=8","Abrir facsímil")</f>
        <v>Abrir facsímil</v>
      </c>
      <c r="K2367" s="3" t="s">
        <v>38</v>
      </c>
    </row>
    <row r="2368" spans="1:11" ht="42" customHeight="1">
      <c r="A2368" s="2" t="s">
        <v>5686</v>
      </c>
      <c r="B2368" s="2" t="s">
        <v>5686</v>
      </c>
      <c r="C2368" s="2" t="s">
        <v>68</v>
      </c>
      <c r="D2368" s="2" t="s">
        <v>69</v>
      </c>
      <c r="E2368" s="5">
        <v>-29717</v>
      </c>
      <c r="F2368" s="3" t="s">
        <v>1644</v>
      </c>
      <c r="G2368" s="3" t="s">
        <v>45</v>
      </c>
      <c r="H2368" s="2" t="s">
        <v>36</v>
      </c>
      <c r="I2368" s="2" t="s">
        <v>5690</v>
      </c>
      <c r="J2368" s="3" t="str">
        <f>HYPERLINK("https://www.boe.es/gazeta/dias/1818/08/20/pdfs/GMD-1818-100.pdf#page=8","Abrir facsímil")</f>
        <v>Abrir facsímil</v>
      </c>
      <c r="K2368" s="3" t="s">
        <v>38</v>
      </c>
    </row>
    <row r="2369" spans="1:11" ht="42" customHeight="1">
      <c r="A2369" s="2" t="s">
        <v>5686</v>
      </c>
      <c r="B2369" s="2" t="s">
        <v>5686</v>
      </c>
      <c r="C2369" s="2" t="s">
        <v>68</v>
      </c>
      <c r="D2369" s="2" t="s">
        <v>69</v>
      </c>
      <c r="E2369" s="5">
        <v>-29715</v>
      </c>
      <c r="F2369" s="3" t="s">
        <v>208</v>
      </c>
      <c r="G2369" s="3" t="s">
        <v>45</v>
      </c>
      <c r="H2369" s="2" t="s">
        <v>36</v>
      </c>
      <c r="I2369" s="2" t="s">
        <v>5691</v>
      </c>
      <c r="J2369" s="3" t="str">
        <f>HYPERLINK("https://www.boe.es/gazeta/dias/1818/08/22/pdfs/GMD-1818-101.pdf#page=8","Abrir facsímil")</f>
        <v>Abrir facsímil</v>
      </c>
      <c r="K2369" s="3" t="s">
        <v>38</v>
      </c>
    </row>
    <row r="2370" spans="1:11" ht="42" customHeight="1">
      <c r="A2370" s="2" t="s">
        <v>5686</v>
      </c>
      <c r="B2370" s="2" t="s">
        <v>5686</v>
      </c>
      <c r="C2370" s="2" t="s">
        <v>68</v>
      </c>
      <c r="D2370" s="2" t="s">
        <v>69</v>
      </c>
      <c r="E2370" s="5">
        <v>-29607</v>
      </c>
      <c r="F2370" s="3" t="s">
        <v>704</v>
      </c>
      <c r="G2370" s="3" t="s">
        <v>2289</v>
      </c>
      <c r="H2370" s="2" t="s">
        <v>36</v>
      </c>
      <c r="I2370" s="2" t="s">
        <v>5692</v>
      </c>
      <c r="J2370" s="3" t="str">
        <f>HYPERLINK("https://www.boe.es/gazeta/dias/1818/12/08/pdfs/GMD-1818-148.pdf#page=8","Abrir facsímil")</f>
        <v>Abrir facsímil</v>
      </c>
      <c r="K2370" s="3" t="s">
        <v>38</v>
      </c>
    </row>
    <row r="2371" spans="1:11" ht="42" customHeight="1">
      <c r="A2371" s="2" t="s">
        <v>5693</v>
      </c>
      <c r="B2371" s="2" t="s">
        <v>5694</v>
      </c>
      <c r="C2371" s="2" t="s">
        <v>26</v>
      </c>
      <c r="D2371" s="2" t="s">
        <v>27</v>
      </c>
      <c r="E2371" s="5">
        <v>-29887</v>
      </c>
      <c r="F2371" s="3" t="s">
        <v>613</v>
      </c>
      <c r="G2371" s="3" t="s">
        <v>2554</v>
      </c>
      <c r="H2371" s="2" t="s">
        <v>36</v>
      </c>
      <c r="I2371" s="2" t="s">
        <v>5695</v>
      </c>
      <c r="J2371" s="3" t="str">
        <f>HYPERLINK("https://www.boe.es/gazeta/dias/1818/03/03/pdfs/GMD-1818-27.pdf#page=8","Abrir facsímil")</f>
        <v>Abrir facsímil</v>
      </c>
      <c r="K2371" s="3" t="s">
        <v>38</v>
      </c>
    </row>
    <row r="2372" spans="1:11" ht="42" customHeight="1">
      <c r="A2372" s="2" t="s">
        <v>5696</v>
      </c>
      <c r="B2372" s="2" t="s">
        <v>5697</v>
      </c>
      <c r="C2372" s="2" t="s">
        <v>57</v>
      </c>
      <c r="D2372" s="2" t="s">
        <v>18</v>
      </c>
      <c r="E2372" s="5">
        <v>-29892</v>
      </c>
      <c r="F2372" s="3" t="s">
        <v>39</v>
      </c>
      <c r="G2372" s="3" t="s">
        <v>40</v>
      </c>
      <c r="H2372" s="2" t="s">
        <v>36</v>
      </c>
      <c r="I2372" s="2" t="s">
        <v>5698</v>
      </c>
      <c r="J2372" s="3" t="str">
        <f>HYPERLINK("https://www.boe.es/gazeta/dias/1818/02/26/pdfs/GMD-1818-25.pdf#page=8","Abrir facsímil")</f>
        <v>Abrir facsímil</v>
      </c>
      <c r="K2372" s="3" t="s">
        <v>38</v>
      </c>
    </row>
    <row r="2373" spans="1:11" ht="42" customHeight="1">
      <c r="A2373" s="2" t="s">
        <v>5699</v>
      </c>
      <c r="B2373" s="2" t="s">
        <v>5700</v>
      </c>
      <c r="C2373" s="2" t="s">
        <v>26</v>
      </c>
      <c r="D2373" s="2" t="s">
        <v>27</v>
      </c>
      <c r="E2373" s="5">
        <v>-29738</v>
      </c>
      <c r="F2373" s="3" t="s">
        <v>263</v>
      </c>
      <c r="G2373" s="3" t="s">
        <v>106</v>
      </c>
      <c r="H2373" s="2" t="s">
        <v>36</v>
      </c>
      <c r="I2373" s="2" t="s">
        <v>5701</v>
      </c>
      <c r="J2373" s="3" t="str">
        <f>HYPERLINK("https://www.boe.es/gazeta/dias/1818/07/30/pdfs/GMD-1818-91.pdf#page=5","Abrir facsímil")</f>
        <v>Abrir facsímil</v>
      </c>
      <c r="K2373" s="3" t="s">
        <v>38</v>
      </c>
    </row>
    <row r="2374" spans="1:11" ht="42" customHeight="1">
      <c r="A2374" s="2" t="s">
        <v>5702</v>
      </c>
      <c r="B2374" s="2" t="s">
        <v>5703</v>
      </c>
      <c r="C2374" s="2" t="s">
        <v>33</v>
      </c>
      <c r="D2374" s="2" t="s">
        <v>18</v>
      </c>
      <c r="E2374" s="5">
        <v>-29698</v>
      </c>
      <c r="F2374" s="3" t="s">
        <v>148</v>
      </c>
      <c r="G2374" s="3" t="s">
        <v>106</v>
      </c>
      <c r="H2374" s="2" t="s">
        <v>36</v>
      </c>
      <c r="I2374" s="2" t="s">
        <v>5704</v>
      </c>
      <c r="J2374" s="3" t="str">
        <f>HYPERLINK("https://www.boe.es/gazeta/dias/1818/09/08/pdfs/GMD-1818-108.pdf#page=5","Abrir facsímil")</f>
        <v>Abrir facsímil</v>
      </c>
      <c r="K2374" s="3" t="s">
        <v>38</v>
      </c>
    </row>
    <row r="2375" spans="1:11" ht="42" customHeight="1">
      <c r="A2375" s="2" t="s">
        <v>5705</v>
      </c>
      <c r="B2375" s="2" t="s">
        <v>5706</v>
      </c>
      <c r="C2375" s="2" t="s">
        <v>17</v>
      </c>
      <c r="D2375" s="2" t="s">
        <v>18</v>
      </c>
      <c r="E2375" s="5">
        <v>-29663</v>
      </c>
      <c r="F2375" s="3" t="s">
        <v>1011</v>
      </c>
      <c r="G2375" s="3" t="s">
        <v>106</v>
      </c>
      <c r="H2375" s="2" t="s">
        <v>36</v>
      </c>
      <c r="I2375" s="2" t="s">
        <v>5707</v>
      </c>
      <c r="J2375" s="3" t="str">
        <f>HYPERLINK("https://www.boe.es/gazeta/dias/1818/10/13/pdfs/GMD-1818-123.pdf#page=5","Abrir facsímil")</f>
        <v>Abrir facsímil</v>
      </c>
      <c r="K2375" s="3" t="s">
        <v>38</v>
      </c>
    </row>
    <row r="2376" spans="1:11" ht="42" customHeight="1">
      <c r="A2376" s="2" t="s">
        <v>5708</v>
      </c>
      <c r="B2376" s="2" t="s">
        <v>5709</v>
      </c>
      <c r="C2376" s="2" t="s">
        <v>17</v>
      </c>
      <c r="D2376" s="2" t="s">
        <v>18</v>
      </c>
      <c r="E2376" s="5">
        <v>-29698</v>
      </c>
      <c r="F2376" s="3" t="s">
        <v>148</v>
      </c>
      <c r="G2376" s="3" t="s">
        <v>29</v>
      </c>
      <c r="H2376" s="2" t="s">
        <v>36</v>
      </c>
      <c r="I2376" s="2" t="s">
        <v>5710</v>
      </c>
      <c r="J2376" s="3" t="str">
        <f>HYPERLINK("https://www.boe.es/gazeta/dias/1818/09/08/pdfs/GMD-1818-108.pdf#page=4","Abrir facsímil")</f>
        <v>Abrir facsímil</v>
      </c>
      <c r="K2376" s="3" t="s">
        <v>38</v>
      </c>
    </row>
    <row r="2377" spans="1:11" ht="42" customHeight="1">
      <c r="A2377" s="2" t="s">
        <v>5711</v>
      </c>
      <c r="B2377" s="2" t="s">
        <v>5712</v>
      </c>
      <c r="C2377" s="2" t="s">
        <v>26</v>
      </c>
      <c r="D2377" s="2" t="s">
        <v>27</v>
      </c>
      <c r="E2377" s="5">
        <v>-29887</v>
      </c>
      <c r="F2377" s="3" t="s">
        <v>613</v>
      </c>
      <c r="G2377" s="3" t="s">
        <v>59</v>
      </c>
      <c r="H2377" s="2" t="s">
        <v>36</v>
      </c>
      <c r="I2377" s="2" t="s">
        <v>5713</v>
      </c>
      <c r="J2377" s="3" t="str">
        <f>HYPERLINK("https://www.boe.es/gazeta/dias/1818/03/03/pdfs/GMD-1818-27.pdf#page=6","Abrir facsímil")</f>
        <v>Abrir facsímil</v>
      </c>
      <c r="K2377" s="3" t="s">
        <v>38</v>
      </c>
    </row>
    <row r="2378" spans="1:11" ht="42" customHeight="1">
      <c r="A2378" s="2" t="s">
        <v>5714</v>
      </c>
      <c r="B2378" s="2" t="s">
        <v>5715</v>
      </c>
      <c r="C2378" s="2" t="s">
        <v>57</v>
      </c>
      <c r="D2378" s="2" t="s">
        <v>18</v>
      </c>
      <c r="E2378" s="5">
        <v>-29619</v>
      </c>
      <c r="F2378" s="3" t="s">
        <v>64</v>
      </c>
      <c r="G2378" s="3" t="s">
        <v>20</v>
      </c>
      <c r="H2378" s="2" t="s">
        <v>36</v>
      </c>
      <c r="I2378" s="2" t="s">
        <v>5716</v>
      </c>
      <c r="J2378" s="3" t="str">
        <f>HYPERLINK("https://www.boe.es/gazeta/dias/1818/11/26/pdfs/GMD-1818-143.pdf#page=7","Abrir facsímil")</f>
        <v>Abrir facsímil</v>
      </c>
      <c r="K2378" s="3" t="s">
        <v>38</v>
      </c>
    </row>
    <row r="2379" spans="1:11" ht="42" customHeight="1">
      <c r="A2379" s="2" t="s">
        <v>5717</v>
      </c>
      <c r="B2379" s="2" t="s">
        <v>5717</v>
      </c>
      <c r="C2379" s="2" t="s">
        <v>26</v>
      </c>
      <c r="D2379" s="2" t="s">
        <v>27</v>
      </c>
      <c r="E2379" s="5">
        <v>-29656</v>
      </c>
      <c r="F2379" s="3" t="s">
        <v>601</v>
      </c>
      <c r="G2379" s="3" t="s">
        <v>85</v>
      </c>
      <c r="H2379" s="2" t="s">
        <v>36</v>
      </c>
      <c r="I2379" s="2" t="s">
        <v>5718</v>
      </c>
      <c r="J2379" s="3" t="str">
        <f>HYPERLINK("https://www.boe.es/gazeta/dias/1818/10/20/pdfs/GMD-1818-127.pdf#page=3","Abrir facsímil")</f>
        <v>Abrir facsímil</v>
      </c>
      <c r="K2379" s="3" t="s">
        <v>38</v>
      </c>
    </row>
    <row r="2380" spans="1:11" ht="42" customHeight="1">
      <c r="A2380" s="2" t="s">
        <v>5719</v>
      </c>
      <c r="B2380" s="2" t="s">
        <v>5720</v>
      </c>
      <c r="C2380" s="2" t="s">
        <v>26</v>
      </c>
      <c r="D2380" s="2" t="s">
        <v>27</v>
      </c>
      <c r="E2380" s="5">
        <v>-29598</v>
      </c>
      <c r="F2380" s="3" t="s">
        <v>98</v>
      </c>
      <c r="G2380" s="3" t="s">
        <v>29</v>
      </c>
      <c r="H2380" s="2" t="s">
        <v>36</v>
      </c>
      <c r="I2380" s="2" t="s">
        <v>5721</v>
      </c>
      <c r="J2380" s="3" t="str">
        <f>HYPERLINK("https://www.boe.es/gazeta/dias/1818/12/17/pdfs/GMD-1818-152.pdf#page=4","Abrir facsímil")</f>
        <v>Abrir facsímil</v>
      </c>
      <c r="K2380" s="3" t="s">
        <v>38</v>
      </c>
    </row>
    <row r="2381" spans="1:11" ht="42" customHeight="1">
      <c r="A2381" s="2" t="s">
        <v>5722</v>
      </c>
      <c r="B2381" s="2" t="s">
        <v>5722</v>
      </c>
      <c r="C2381" s="2" t="s">
        <v>68</v>
      </c>
      <c r="D2381" s="2" t="s">
        <v>69</v>
      </c>
      <c r="E2381" s="5">
        <v>-29663</v>
      </c>
      <c r="F2381" s="3" t="s">
        <v>1011</v>
      </c>
      <c r="G2381" s="3" t="s">
        <v>59</v>
      </c>
      <c r="H2381" s="2" t="s">
        <v>36</v>
      </c>
      <c r="I2381" s="2" t="s">
        <v>5723</v>
      </c>
      <c r="J2381" s="3" t="str">
        <f>HYPERLINK("https://www.boe.es/gazeta/dias/1818/10/13/pdfs/GMD-1818-123.pdf#page=6","Abrir facsímil")</f>
        <v>Abrir facsímil</v>
      </c>
      <c r="K2381" s="3" t="s">
        <v>38</v>
      </c>
    </row>
    <row r="2382" spans="1:11" ht="42" customHeight="1">
      <c r="A2382" s="2" t="s">
        <v>5724</v>
      </c>
      <c r="B2382" s="2" t="s">
        <v>5725</v>
      </c>
      <c r="C2382" s="2" t="s">
        <v>26</v>
      </c>
      <c r="D2382" s="2" t="s">
        <v>27</v>
      </c>
      <c r="E2382" s="5">
        <v>-29754</v>
      </c>
      <c r="F2382" s="3" t="s">
        <v>466</v>
      </c>
      <c r="G2382" s="3" t="s">
        <v>106</v>
      </c>
      <c r="H2382" s="2" t="s">
        <v>36</v>
      </c>
      <c r="I2382" s="2" t="s">
        <v>5726</v>
      </c>
      <c r="J2382" s="3" t="str">
        <f>HYPERLINK("https://www.boe.es/gazeta/dias/1818/07/14/pdfs/GMD-1818-84.pdf#page=5","Abrir facsímil")</f>
        <v>Abrir facsímil</v>
      </c>
      <c r="K2382" s="3" t="s">
        <v>38</v>
      </c>
    </row>
    <row r="2383" spans="1:11" ht="42" customHeight="1">
      <c r="A2383" s="2" t="s">
        <v>5727</v>
      </c>
      <c r="B2383" s="2" t="s">
        <v>5727</v>
      </c>
      <c r="C2383" s="2" t="s">
        <v>26</v>
      </c>
      <c r="D2383" s="2" t="s">
        <v>27</v>
      </c>
      <c r="E2383" s="5">
        <v>-29761</v>
      </c>
      <c r="F2383" s="3" t="s">
        <v>168</v>
      </c>
      <c r="G2383" s="3" t="s">
        <v>1238</v>
      </c>
      <c r="H2383" s="2" t="s">
        <v>36</v>
      </c>
      <c r="I2383" s="2" t="s">
        <v>5728</v>
      </c>
      <c r="J2383" s="3" t="str">
        <f>HYPERLINK("https://www.boe.es/gazeta/dias/1818/07/07/pdfs/GMD-1818-81.pdf#page=8","Abrir facsímil")</f>
        <v>Abrir facsímil</v>
      </c>
      <c r="K2383" s="3" t="s">
        <v>38</v>
      </c>
    </row>
    <row r="2384" spans="1:11" ht="42" customHeight="1">
      <c r="A2384" s="2" t="s">
        <v>5729</v>
      </c>
      <c r="B2384" s="2" t="s">
        <v>5730</v>
      </c>
      <c r="C2384" s="2" t="s">
        <v>17</v>
      </c>
      <c r="D2384" s="2" t="s">
        <v>18</v>
      </c>
      <c r="E2384" s="5">
        <v>-29829</v>
      </c>
      <c r="F2384" s="3" t="s">
        <v>44</v>
      </c>
      <c r="G2384" s="3" t="s">
        <v>45</v>
      </c>
      <c r="H2384" s="2" t="s">
        <v>36</v>
      </c>
      <c r="I2384" s="2" t="s">
        <v>5731</v>
      </c>
      <c r="J2384" s="3" t="str">
        <f>HYPERLINK("https://www.boe.es/gazeta/dias/1818/04/30/pdfs/GMD-1818-52.pdf#page=8","Abrir facsímil")</f>
        <v>Abrir facsímil</v>
      </c>
      <c r="K2384" s="3" t="s">
        <v>38</v>
      </c>
    </row>
    <row r="2385" spans="1:11" ht="42" customHeight="1">
      <c r="A2385" s="2" t="s">
        <v>5732</v>
      </c>
      <c r="B2385" s="2" t="s">
        <v>5733</v>
      </c>
      <c r="C2385" s="2" t="s">
        <v>17</v>
      </c>
      <c r="D2385" s="2" t="s">
        <v>18</v>
      </c>
      <c r="E2385" s="5">
        <v>-29703</v>
      </c>
      <c r="F2385" s="3" t="s">
        <v>294</v>
      </c>
      <c r="G2385" s="3" t="s">
        <v>295</v>
      </c>
      <c r="H2385" s="2" t="s">
        <v>36</v>
      </c>
      <c r="I2385" s="2" t="s">
        <v>5734</v>
      </c>
      <c r="J2385" s="3" t="str">
        <f>HYPERLINK("https://www.boe.es/gazeta/dias/1818/09/03/pdfs/GMD-1818-106.pdf#page=5","Abrir facsímil")</f>
        <v>Abrir facsímil</v>
      </c>
      <c r="K2385" s="3" t="s">
        <v>38</v>
      </c>
    </row>
    <row r="2386" spans="1:11" ht="42" customHeight="1">
      <c r="A2386" s="2" t="s">
        <v>5735</v>
      </c>
      <c r="B2386" s="2" t="s">
        <v>5736</v>
      </c>
      <c r="C2386" s="2" t="s">
        <v>17</v>
      </c>
      <c r="D2386" s="2" t="s">
        <v>18</v>
      </c>
      <c r="E2386" s="5">
        <v>-29698</v>
      </c>
      <c r="F2386" s="3" t="s">
        <v>148</v>
      </c>
      <c r="G2386" s="3" t="s">
        <v>120</v>
      </c>
      <c r="H2386" s="2" t="s">
        <v>36</v>
      </c>
      <c r="I2386" s="2" t="s">
        <v>5737</v>
      </c>
      <c r="J2386" s="3" t="str">
        <f>HYPERLINK("https://www.boe.es/gazeta/dias/1818/09/08/pdfs/GMD-1818-108.pdf#page=2","Abrir facsímil")</f>
        <v>Abrir facsímil</v>
      </c>
      <c r="K2386" s="3" t="s">
        <v>38</v>
      </c>
    </row>
    <row r="2387" spans="1:11" ht="42" customHeight="1">
      <c r="A2387" s="2" t="s">
        <v>5738</v>
      </c>
      <c r="B2387" s="2" t="s">
        <v>5738</v>
      </c>
      <c r="C2387" s="2" t="s">
        <v>33</v>
      </c>
      <c r="D2387" s="2" t="s">
        <v>18</v>
      </c>
      <c r="E2387" s="5">
        <v>-29808</v>
      </c>
      <c r="F2387" s="3" t="s">
        <v>80</v>
      </c>
      <c r="G2387" s="3" t="s">
        <v>2556</v>
      </c>
      <c r="H2387" s="2" t="s">
        <v>36</v>
      </c>
      <c r="I2387" s="2" t="s">
        <v>5739</v>
      </c>
      <c r="J2387" s="3" t="str">
        <f>HYPERLINK("https://www.boe.es/gazeta/dias/1818/05/21/pdfs/GMD-1818-61.pdf#page=8","Abrir facsímil")</f>
        <v>Abrir facsímil</v>
      </c>
      <c r="K2387" s="3" t="s">
        <v>38</v>
      </c>
    </row>
    <row r="2388" spans="1:11" ht="42" customHeight="1">
      <c r="A2388" s="2" t="s">
        <v>5740</v>
      </c>
      <c r="B2388" s="2" t="s">
        <v>5741</v>
      </c>
      <c r="C2388" s="2" t="s">
        <v>26</v>
      </c>
      <c r="D2388" s="2" t="s">
        <v>27</v>
      </c>
      <c r="E2388" s="5">
        <v>-29913</v>
      </c>
      <c r="F2388" s="3" t="s">
        <v>449</v>
      </c>
      <c r="G2388" s="3" t="s">
        <v>20</v>
      </c>
      <c r="H2388" s="2" t="s">
        <v>36</v>
      </c>
      <c r="I2388" s="2" t="s">
        <v>5742</v>
      </c>
      <c r="J2388" s="3" t="str">
        <f>HYPERLINK("https://www.boe.es/gazeta/dias/1818/02/05/pdfs/GMD-1818-16.pdf#page=7","Abrir facsímil")</f>
        <v>Abrir facsímil</v>
      </c>
      <c r="K2388" s="3" t="s">
        <v>38</v>
      </c>
    </row>
    <row r="2389" spans="1:11" ht="42" customHeight="1">
      <c r="A2389" s="2" t="s">
        <v>5743</v>
      </c>
      <c r="B2389" s="2" t="s">
        <v>5744</v>
      </c>
      <c r="C2389" s="2" t="s">
        <v>26</v>
      </c>
      <c r="D2389" s="2" t="s">
        <v>27</v>
      </c>
      <c r="E2389" s="5">
        <v>-29801</v>
      </c>
      <c r="F2389" s="3" t="s">
        <v>288</v>
      </c>
      <c r="G2389" s="3" t="s">
        <v>49</v>
      </c>
      <c r="H2389" s="2" t="s">
        <v>36</v>
      </c>
      <c r="I2389" s="2" t="s">
        <v>5745</v>
      </c>
      <c r="J2389" s="3" t="str">
        <f>HYPERLINK("https://www.boe.es/gazeta/dias/1818/05/28/pdfs/GMD-1818-64.pdf#page=1","Abrir facsímil")</f>
        <v>Abrir facsímil</v>
      </c>
      <c r="K2389" s="3" t="s">
        <v>38</v>
      </c>
    </row>
    <row r="2390" spans="1:11" ht="42" customHeight="1">
      <c r="A2390" s="2" t="s">
        <v>5746</v>
      </c>
      <c r="B2390" s="2" t="s">
        <v>5746</v>
      </c>
      <c r="C2390" s="2" t="s">
        <v>26</v>
      </c>
      <c r="D2390" s="2" t="s">
        <v>27</v>
      </c>
      <c r="E2390" s="5">
        <v>-29913</v>
      </c>
      <c r="F2390" s="3" t="s">
        <v>449</v>
      </c>
      <c r="G2390" s="3" t="s">
        <v>5747</v>
      </c>
      <c r="H2390" s="2" t="s">
        <v>36</v>
      </c>
      <c r="I2390" s="2" t="s">
        <v>5748</v>
      </c>
      <c r="J2390" s="3" t="str">
        <f>HYPERLINK("https://www.boe.es/gazeta/dias/1818/02/05/pdfs/GMD-1818-16.pdf#page=4","Abrir facsímil")</f>
        <v>Abrir facsímil</v>
      </c>
      <c r="K2390" s="3" t="s">
        <v>38</v>
      </c>
    </row>
    <row r="2391" spans="1:11" ht="42" customHeight="1">
      <c r="A2391" s="2" t="s">
        <v>5746</v>
      </c>
      <c r="B2391" s="2" t="s">
        <v>5746</v>
      </c>
      <c r="C2391" s="2" t="s">
        <v>26</v>
      </c>
      <c r="D2391" s="2" t="s">
        <v>27</v>
      </c>
      <c r="E2391" s="5">
        <v>-29913</v>
      </c>
      <c r="F2391" s="3" t="s">
        <v>449</v>
      </c>
      <c r="G2391" s="3" t="s">
        <v>85</v>
      </c>
      <c r="H2391" s="2" t="s">
        <v>36</v>
      </c>
      <c r="I2391" s="2" t="s">
        <v>5749</v>
      </c>
      <c r="J2391" s="3" t="str">
        <f>HYPERLINK("https://www.boe.es/gazeta/dias/1818/02/05/pdfs/GMD-1818-16.pdf#page=3","Abrir facsímil")</f>
        <v>Abrir facsímil</v>
      </c>
      <c r="K2391" s="3" t="s">
        <v>38</v>
      </c>
    </row>
    <row r="2392" spans="1:11" ht="42" customHeight="1">
      <c r="A2392" s="2" t="s">
        <v>5746</v>
      </c>
      <c r="B2392" s="2" t="s">
        <v>5746</v>
      </c>
      <c r="C2392" s="2" t="s">
        <v>26</v>
      </c>
      <c r="D2392" s="2" t="s">
        <v>27</v>
      </c>
      <c r="E2392" s="5">
        <v>-29913</v>
      </c>
      <c r="F2392" s="3" t="s">
        <v>449</v>
      </c>
      <c r="G2392" s="3" t="s">
        <v>106</v>
      </c>
      <c r="H2392" s="2" t="s">
        <v>36</v>
      </c>
      <c r="I2392" s="2" t="s">
        <v>5750</v>
      </c>
      <c r="J2392" s="3" t="str">
        <f>HYPERLINK("https://www.boe.es/gazeta/dias/1818/02/05/pdfs/GMD-1818-16.pdf#page=5","Abrir facsímil")</f>
        <v>Abrir facsímil</v>
      </c>
      <c r="K2392" s="3" t="s">
        <v>38</v>
      </c>
    </row>
    <row r="2393" spans="1:11" ht="42" customHeight="1">
      <c r="A2393" s="2" t="s">
        <v>5746</v>
      </c>
      <c r="B2393" s="2" t="s">
        <v>5746</v>
      </c>
      <c r="C2393" s="2" t="s">
        <v>26</v>
      </c>
      <c r="D2393" s="2" t="s">
        <v>27</v>
      </c>
      <c r="E2393" s="5">
        <v>-29913</v>
      </c>
      <c r="F2393" s="3" t="s">
        <v>449</v>
      </c>
      <c r="G2393" s="3" t="s">
        <v>59</v>
      </c>
      <c r="H2393" s="2" t="s">
        <v>36</v>
      </c>
      <c r="I2393" s="2" t="s">
        <v>5751</v>
      </c>
      <c r="J2393" s="3" t="str">
        <f>HYPERLINK("https://www.boe.es/gazeta/dias/1818/02/05/pdfs/GMD-1818-16.pdf#page=6","Abrir facsímil")</f>
        <v>Abrir facsímil</v>
      </c>
      <c r="K2393" s="3" t="s">
        <v>38</v>
      </c>
    </row>
    <row r="2394" spans="1:11" ht="42" customHeight="1">
      <c r="A2394" s="2" t="s">
        <v>5746</v>
      </c>
      <c r="B2394" s="2" t="s">
        <v>5746</v>
      </c>
      <c r="C2394" s="2" t="s">
        <v>26</v>
      </c>
      <c r="D2394" s="2" t="s">
        <v>27</v>
      </c>
      <c r="E2394" s="5">
        <v>-29901</v>
      </c>
      <c r="F2394" s="3" t="s">
        <v>417</v>
      </c>
      <c r="G2394" s="3" t="s">
        <v>45</v>
      </c>
      <c r="H2394" s="2" t="s">
        <v>36</v>
      </c>
      <c r="I2394" s="2" t="s">
        <v>5752</v>
      </c>
      <c r="J2394" s="3" t="str">
        <f>HYPERLINK("https://www.boe.es/gazeta/dias/1818/02/17/pdfs/GMD-1818-21.pdf#page=8","Abrir facsímil")</f>
        <v>Abrir facsímil</v>
      </c>
      <c r="K2394" s="3" t="s">
        <v>38</v>
      </c>
    </row>
    <row r="2395" spans="1:11" ht="42" customHeight="1">
      <c r="A2395" s="2" t="s">
        <v>5753</v>
      </c>
      <c r="B2395" s="2" t="s">
        <v>5754</v>
      </c>
      <c r="C2395" s="2" t="s">
        <v>26</v>
      </c>
      <c r="D2395" s="2" t="s">
        <v>27</v>
      </c>
      <c r="E2395" s="5">
        <v>-29920</v>
      </c>
      <c r="F2395" s="3" t="s">
        <v>201</v>
      </c>
      <c r="G2395" s="3" t="s">
        <v>106</v>
      </c>
      <c r="H2395" s="2" t="s">
        <v>36</v>
      </c>
      <c r="I2395" s="2" t="s">
        <v>5755</v>
      </c>
      <c r="J2395" s="3" t="str">
        <f>HYPERLINK("https://www.boe.es/gazeta/dias/1818/01/29/pdfs/GMD-1818-13.pdf#page=5","Abrir facsímil")</f>
        <v>Abrir facsímil</v>
      </c>
      <c r="K2395" s="3" t="s">
        <v>38</v>
      </c>
    </row>
    <row r="2396" spans="1:11" ht="42" customHeight="1">
      <c r="A2396" s="2" t="s">
        <v>5756</v>
      </c>
      <c r="B2396" s="2" t="s">
        <v>5757</v>
      </c>
      <c r="C2396" s="2" t="s">
        <v>26</v>
      </c>
      <c r="D2396" s="2" t="s">
        <v>27</v>
      </c>
      <c r="E2396" s="5">
        <v>-29810</v>
      </c>
      <c r="F2396" s="3" t="s">
        <v>222</v>
      </c>
      <c r="G2396" s="3" t="s">
        <v>29</v>
      </c>
      <c r="H2396" s="2" t="s">
        <v>36</v>
      </c>
      <c r="I2396" s="2" t="s">
        <v>5758</v>
      </c>
      <c r="J2396" s="3" t="str">
        <f>HYPERLINK("https://www.boe.es/gazeta/dias/1818/05/19/pdfs/GMD-1818-60.pdf#page=4","Abrir facsímil")</f>
        <v>Abrir facsímil</v>
      </c>
      <c r="K2396" s="3" t="s">
        <v>38</v>
      </c>
    </row>
    <row r="2397" spans="1:11" ht="42" customHeight="1">
      <c r="A2397" s="2" t="s">
        <v>5759</v>
      </c>
      <c r="B2397" s="2" t="s">
        <v>5760</v>
      </c>
      <c r="C2397" s="2" t="s">
        <v>17</v>
      </c>
      <c r="D2397" s="2" t="s">
        <v>18</v>
      </c>
      <c r="E2397" s="5">
        <v>-29922</v>
      </c>
      <c r="F2397" s="3" t="s">
        <v>174</v>
      </c>
      <c r="G2397" s="3" t="s">
        <v>812</v>
      </c>
      <c r="H2397" s="2" t="s">
        <v>36</v>
      </c>
      <c r="I2397" s="2" t="s">
        <v>5761</v>
      </c>
      <c r="J2397" s="3" t="str">
        <f>HYPERLINK("https://www.boe.es/gazeta/dias/1818/01/27/pdfs/GMD-1818-12.pdf#page=4","Abrir facsímil")</f>
        <v>Abrir facsímil</v>
      </c>
      <c r="K2397" s="3" t="s">
        <v>38</v>
      </c>
    </row>
    <row r="2398" spans="1:11" ht="42" customHeight="1">
      <c r="A2398" s="2" t="s">
        <v>5759</v>
      </c>
      <c r="B2398" s="2" t="s">
        <v>5760</v>
      </c>
      <c r="C2398" s="2" t="s">
        <v>26</v>
      </c>
      <c r="D2398" s="2" t="s">
        <v>27</v>
      </c>
      <c r="E2398" s="5">
        <v>-29901</v>
      </c>
      <c r="F2398" s="3" t="s">
        <v>417</v>
      </c>
      <c r="G2398" s="3" t="s">
        <v>20</v>
      </c>
      <c r="H2398" s="2" t="s">
        <v>36</v>
      </c>
      <c r="I2398" s="2" t="s">
        <v>5762</v>
      </c>
      <c r="J2398" s="3" t="str">
        <f>HYPERLINK("https://www.boe.es/gazeta/dias/1818/02/17/pdfs/GMD-1818-21.pdf#page=7","Abrir facsímil")</f>
        <v>Abrir facsímil</v>
      </c>
      <c r="K2398" s="3" t="s">
        <v>38</v>
      </c>
    </row>
    <row r="2399" spans="1:11" ht="42" customHeight="1">
      <c r="A2399" s="2" t="s">
        <v>5759</v>
      </c>
      <c r="B2399" s="2" t="s">
        <v>5760</v>
      </c>
      <c r="C2399" s="2" t="s">
        <v>26</v>
      </c>
      <c r="D2399" s="2" t="s">
        <v>27</v>
      </c>
      <c r="E2399" s="5">
        <v>-29897</v>
      </c>
      <c r="F2399" s="3" t="s">
        <v>318</v>
      </c>
      <c r="G2399" s="3" t="s">
        <v>106</v>
      </c>
      <c r="H2399" s="2" t="s">
        <v>36</v>
      </c>
      <c r="I2399" s="2" t="s">
        <v>5763</v>
      </c>
      <c r="J2399" s="3" t="str">
        <f>HYPERLINK("https://www.boe.es/gazeta/dias/1818/02/21/pdfs/GMD-1818-23.pdf#page=5","Abrir facsímil")</f>
        <v>Abrir facsímil</v>
      </c>
      <c r="K2399" s="3" t="s">
        <v>38</v>
      </c>
    </row>
    <row r="2400" spans="1:11" ht="42" customHeight="1">
      <c r="A2400" s="2" t="s">
        <v>5759</v>
      </c>
      <c r="B2400" s="2" t="s">
        <v>5760</v>
      </c>
      <c r="C2400" s="2" t="s">
        <v>26</v>
      </c>
      <c r="D2400" s="2" t="s">
        <v>27</v>
      </c>
      <c r="E2400" s="5">
        <v>-29887</v>
      </c>
      <c r="F2400" s="3" t="s">
        <v>613</v>
      </c>
      <c r="G2400" s="3" t="s">
        <v>59</v>
      </c>
      <c r="H2400" s="2" t="s">
        <v>36</v>
      </c>
      <c r="I2400" s="2" t="s">
        <v>5764</v>
      </c>
      <c r="J2400" s="3" t="str">
        <f>HYPERLINK("https://www.boe.es/gazeta/dias/1818/03/03/pdfs/GMD-1818-27.pdf#page=6","Abrir facsímil")</f>
        <v>Abrir facsímil</v>
      </c>
      <c r="K2400" s="3" t="s">
        <v>38</v>
      </c>
    </row>
    <row r="2401" spans="1:11" ht="42" customHeight="1">
      <c r="A2401" s="2" t="s">
        <v>5759</v>
      </c>
      <c r="B2401" s="2" t="s">
        <v>5760</v>
      </c>
      <c r="C2401" s="2" t="s">
        <v>26</v>
      </c>
      <c r="D2401" s="2" t="s">
        <v>27</v>
      </c>
      <c r="E2401" s="5">
        <v>-29887</v>
      </c>
      <c r="F2401" s="3" t="s">
        <v>613</v>
      </c>
      <c r="G2401" s="3" t="s">
        <v>20</v>
      </c>
      <c r="H2401" s="2" t="s">
        <v>36</v>
      </c>
      <c r="I2401" s="2" t="s">
        <v>5765</v>
      </c>
      <c r="J2401" s="3" t="str">
        <f>HYPERLINK("https://www.boe.es/gazeta/dias/1818/03/03/pdfs/GMD-1818-27.pdf#page=7","Abrir facsímil")</f>
        <v>Abrir facsímil</v>
      </c>
      <c r="K2401" s="3" t="s">
        <v>38</v>
      </c>
    </row>
    <row r="2402" spans="1:11" ht="42" customHeight="1">
      <c r="A2402" s="2" t="s">
        <v>5759</v>
      </c>
      <c r="B2402" s="2" t="s">
        <v>5760</v>
      </c>
      <c r="C2402" s="2" t="s">
        <v>17</v>
      </c>
      <c r="D2402" s="2" t="s">
        <v>18</v>
      </c>
      <c r="E2402" s="5">
        <v>-29878</v>
      </c>
      <c r="F2402" s="3" t="s">
        <v>353</v>
      </c>
      <c r="G2402" s="3" t="s">
        <v>85</v>
      </c>
      <c r="H2402" s="2" t="s">
        <v>36</v>
      </c>
      <c r="I2402" s="2" t="s">
        <v>5766</v>
      </c>
      <c r="J2402" s="3" t="str">
        <f>HYPERLINK("https://www.boe.es/gazeta/dias/1818/03/12/pdfs/GMD-1818-31.pdf#page=3","Abrir facsímil")</f>
        <v>Abrir facsímil</v>
      </c>
      <c r="K2402" s="3" t="s">
        <v>38</v>
      </c>
    </row>
    <row r="2403" spans="1:11" ht="42" customHeight="1">
      <c r="A2403" s="2" t="s">
        <v>5759</v>
      </c>
      <c r="B2403" s="2" t="s">
        <v>5760</v>
      </c>
      <c r="C2403" s="2" t="s">
        <v>26</v>
      </c>
      <c r="D2403" s="2" t="s">
        <v>27</v>
      </c>
      <c r="E2403" s="5">
        <v>-29801</v>
      </c>
      <c r="F2403" s="3" t="s">
        <v>288</v>
      </c>
      <c r="G2403" s="3" t="s">
        <v>20</v>
      </c>
      <c r="H2403" s="2" t="s">
        <v>36</v>
      </c>
      <c r="I2403" s="2" t="s">
        <v>5767</v>
      </c>
      <c r="J2403" s="3" t="str">
        <f>HYPERLINK("https://www.boe.es/gazeta/dias/1818/05/28/pdfs/GMD-1818-64.pdf#page=7","Abrir facsímil")</f>
        <v>Abrir facsímil</v>
      </c>
      <c r="K2403" s="3" t="s">
        <v>38</v>
      </c>
    </row>
    <row r="2404" spans="1:11" ht="42" customHeight="1">
      <c r="A2404" s="2" t="s">
        <v>5768</v>
      </c>
      <c r="B2404" s="2" t="s">
        <v>5769</v>
      </c>
      <c r="C2404" s="2" t="s">
        <v>26</v>
      </c>
      <c r="D2404" s="2" t="s">
        <v>27</v>
      </c>
      <c r="E2404" s="5">
        <v>-29652</v>
      </c>
      <c r="F2404" s="3" t="s">
        <v>741</v>
      </c>
      <c r="G2404" s="3" t="s">
        <v>106</v>
      </c>
      <c r="H2404" s="2" t="s">
        <v>36</v>
      </c>
      <c r="I2404" s="2" t="s">
        <v>5770</v>
      </c>
      <c r="J2404" s="3" t="str">
        <f>HYPERLINK("https://www.boe.es/gazeta/dias/1818/10/24/pdfs/GMD-1818-129.pdf#page=5","Abrir facsímil")</f>
        <v>Abrir facsímil</v>
      </c>
      <c r="K2404" s="3" t="s">
        <v>38</v>
      </c>
    </row>
    <row r="2405" spans="1:11" ht="42" customHeight="1">
      <c r="A2405" s="2" t="s">
        <v>5768</v>
      </c>
      <c r="B2405" s="2" t="s">
        <v>5769</v>
      </c>
      <c r="C2405" s="2" t="s">
        <v>26</v>
      </c>
      <c r="D2405" s="2" t="s">
        <v>27</v>
      </c>
      <c r="E2405" s="5">
        <v>-29598</v>
      </c>
      <c r="F2405" s="3" t="s">
        <v>98</v>
      </c>
      <c r="G2405" s="3" t="s">
        <v>85</v>
      </c>
      <c r="H2405" s="2" t="s">
        <v>36</v>
      </c>
      <c r="I2405" s="2" t="s">
        <v>5771</v>
      </c>
      <c r="J2405" s="3" t="str">
        <f>HYPERLINK("https://www.boe.es/gazeta/dias/1818/12/17/pdfs/GMD-1818-152.pdf#page=3","Abrir facsímil")</f>
        <v>Abrir facsímil</v>
      </c>
      <c r="K2405" s="3" t="s">
        <v>38</v>
      </c>
    </row>
    <row r="2406" spans="1:11" ht="42" customHeight="1">
      <c r="A2406" s="2" t="s">
        <v>5772</v>
      </c>
      <c r="B2406" s="2" t="s">
        <v>5773</v>
      </c>
      <c r="C2406" s="2" t="s">
        <v>26</v>
      </c>
      <c r="D2406" s="2" t="s">
        <v>27</v>
      </c>
      <c r="E2406" s="5">
        <v>-29614</v>
      </c>
      <c r="F2406" s="3" t="s">
        <v>620</v>
      </c>
      <c r="G2406" s="3" t="s">
        <v>20</v>
      </c>
      <c r="H2406" s="2" t="s">
        <v>36</v>
      </c>
      <c r="I2406" s="2" t="s">
        <v>5774</v>
      </c>
      <c r="J2406" s="3" t="str">
        <f>HYPERLINK("https://www.boe.es/gazeta/dias/1818/12/01/pdfs/GMD-1818-145.pdf#page=7","Abrir facsímil")</f>
        <v>Abrir facsímil</v>
      </c>
      <c r="K2406" s="3" t="s">
        <v>38</v>
      </c>
    </row>
    <row r="2407" spans="1:11" ht="42" customHeight="1">
      <c r="A2407" s="2" t="s">
        <v>5775</v>
      </c>
      <c r="B2407" s="2" t="s">
        <v>5776</v>
      </c>
      <c r="C2407" s="2" t="s">
        <v>26</v>
      </c>
      <c r="D2407" s="2" t="s">
        <v>27</v>
      </c>
      <c r="E2407" s="5">
        <v>-29913</v>
      </c>
      <c r="F2407" s="3" t="s">
        <v>449</v>
      </c>
      <c r="G2407" s="3" t="s">
        <v>45</v>
      </c>
      <c r="H2407" s="2" t="s">
        <v>36</v>
      </c>
      <c r="I2407" s="2" t="s">
        <v>5777</v>
      </c>
      <c r="J2407" s="3" t="str">
        <f>HYPERLINK("https://www.boe.es/gazeta/dias/1818/02/05/pdfs/GMD-1818-16.pdf#page=8","Abrir facsímil")</f>
        <v>Abrir facsímil</v>
      </c>
      <c r="K2407" s="3" t="s">
        <v>38</v>
      </c>
    </row>
    <row r="2408" spans="1:11" ht="42" customHeight="1">
      <c r="A2408" s="2" t="s">
        <v>5778</v>
      </c>
      <c r="B2408" s="2" t="s">
        <v>5778</v>
      </c>
      <c r="C2408" s="2" t="s">
        <v>57</v>
      </c>
      <c r="D2408" s="2" t="s">
        <v>18</v>
      </c>
      <c r="E2408" s="5">
        <v>-29869</v>
      </c>
      <c r="F2408" s="3" t="s">
        <v>140</v>
      </c>
      <c r="G2408" s="3" t="s">
        <v>120</v>
      </c>
      <c r="H2408" s="2" t="s">
        <v>36</v>
      </c>
      <c r="I2408" s="2" t="s">
        <v>5779</v>
      </c>
      <c r="J2408" s="3" t="str">
        <f>HYPERLINK("https://www.boe.es/gazeta/dias/1818/03/21/pdfs/GMD-1818-35.pdf#page=2","Abrir facsímil")</f>
        <v>Abrir facsímil</v>
      </c>
      <c r="K2408" s="3" t="s">
        <v>38</v>
      </c>
    </row>
    <row r="2409" spans="1:11" ht="42" customHeight="1">
      <c r="A2409" s="2" t="s">
        <v>5780</v>
      </c>
      <c r="B2409" s="2" t="s">
        <v>5781</v>
      </c>
      <c r="C2409" s="2" t="s">
        <v>26</v>
      </c>
      <c r="D2409" s="2" t="s">
        <v>27</v>
      </c>
      <c r="E2409" s="5">
        <v>-29691</v>
      </c>
      <c r="F2409" s="3" t="s">
        <v>144</v>
      </c>
      <c r="G2409" s="3" t="s">
        <v>45</v>
      </c>
      <c r="H2409" s="2" t="s">
        <v>36</v>
      </c>
      <c r="I2409" s="2" t="s">
        <v>5782</v>
      </c>
      <c r="J2409" s="3" t="str">
        <f>HYPERLINK("https://www.boe.es/gazeta/dias/1818/09/15/pdfs/GMD-1818-111.pdf#page=8","Abrir facsímil")</f>
        <v>Abrir facsímil</v>
      </c>
      <c r="K2409" s="3" t="s">
        <v>38</v>
      </c>
    </row>
    <row r="2410" spans="1:11" ht="42" customHeight="1">
      <c r="A2410" s="2" t="s">
        <v>5783</v>
      </c>
      <c r="B2410" s="2" t="s">
        <v>5783</v>
      </c>
      <c r="C2410" s="2" t="s">
        <v>215</v>
      </c>
      <c r="D2410" s="2" t="s">
        <v>18</v>
      </c>
      <c r="E2410" s="5">
        <v>-29834</v>
      </c>
      <c r="F2410" s="3" t="s">
        <v>457</v>
      </c>
      <c r="G2410" s="3" t="s">
        <v>29</v>
      </c>
      <c r="H2410" s="2" t="s">
        <v>36</v>
      </c>
      <c r="I2410" s="2" t="s">
        <v>5784</v>
      </c>
      <c r="J2410" s="3" t="str">
        <f>HYPERLINK("https://www.boe.es/gazeta/dias/1818/04/25/pdfs/GMD-1818-50.pdf#page=4","Abrir facsímil")</f>
        <v>Abrir facsímil</v>
      </c>
      <c r="K2410" s="3" t="s">
        <v>38</v>
      </c>
    </row>
    <row r="2411" spans="1:11" ht="42" customHeight="1">
      <c r="A2411" s="2" t="s">
        <v>5783</v>
      </c>
      <c r="B2411" s="2" t="s">
        <v>5783</v>
      </c>
      <c r="C2411" s="2" t="s">
        <v>215</v>
      </c>
      <c r="D2411" s="2" t="s">
        <v>18</v>
      </c>
      <c r="E2411" s="5">
        <v>-29794</v>
      </c>
      <c r="F2411" s="3" t="s">
        <v>127</v>
      </c>
      <c r="G2411" s="3" t="s">
        <v>29</v>
      </c>
      <c r="H2411" s="2" t="s">
        <v>36</v>
      </c>
      <c r="I2411" s="2" t="s">
        <v>5785</v>
      </c>
      <c r="J2411" s="3" t="str">
        <f>HYPERLINK("https://www.boe.es/gazeta/dias/1818/06/04/pdfs/GMD-1818-67.pdf#page=4","Abrir facsímil")</f>
        <v>Abrir facsímil</v>
      </c>
      <c r="K2411" s="3" t="s">
        <v>38</v>
      </c>
    </row>
    <row r="2412" spans="1:11" ht="42" customHeight="1">
      <c r="A2412" s="2" t="s">
        <v>5786</v>
      </c>
      <c r="B2412" s="2" t="s">
        <v>5787</v>
      </c>
      <c r="C2412" s="2" t="s">
        <v>26</v>
      </c>
      <c r="D2412" s="2" t="s">
        <v>27</v>
      </c>
      <c r="E2412" s="5">
        <v>-29915</v>
      </c>
      <c r="F2412" s="3" t="s">
        <v>429</v>
      </c>
      <c r="G2412" s="3" t="s">
        <v>815</v>
      </c>
      <c r="H2412" s="2" t="s">
        <v>36</v>
      </c>
      <c r="I2412" s="2" t="s">
        <v>5788</v>
      </c>
      <c r="J2412" s="3" t="str">
        <f>HYPERLINK("https://www.boe.es/gazeta/dias/1818/02/03/pdfs/GMD-1818-15.pdf#page=5","Abrir facsímil")</f>
        <v>Abrir facsímil</v>
      </c>
      <c r="K2412" s="3" t="s">
        <v>38</v>
      </c>
    </row>
    <row r="2413" spans="1:11" ht="42" customHeight="1">
      <c r="A2413" s="2" t="s">
        <v>5786</v>
      </c>
      <c r="B2413" s="2" t="s">
        <v>5787</v>
      </c>
      <c r="C2413" s="2" t="s">
        <v>26</v>
      </c>
      <c r="D2413" s="2" t="s">
        <v>27</v>
      </c>
      <c r="E2413" s="5">
        <v>-29654</v>
      </c>
      <c r="F2413" s="3" t="s">
        <v>219</v>
      </c>
      <c r="G2413" s="3" t="s">
        <v>59</v>
      </c>
      <c r="H2413" s="2" t="s">
        <v>36</v>
      </c>
      <c r="I2413" s="2" t="s">
        <v>5789</v>
      </c>
      <c r="J2413" s="3" t="str">
        <f>HYPERLINK("https://www.boe.es/gazeta/dias/1818/10/22/pdfs/GMD-1818-128.pdf#page=6","Abrir facsímil")</f>
        <v>Abrir facsímil</v>
      </c>
      <c r="K2413" s="3" t="s">
        <v>38</v>
      </c>
    </row>
    <row r="2414" spans="1:11" ht="42" customHeight="1">
      <c r="A2414" s="2" t="s">
        <v>5786</v>
      </c>
      <c r="B2414" s="2" t="s">
        <v>5787</v>
      </c>
      <c r="C2414" s="2" t="s">
        <v>26</v>
      </c>
      <c r="D2414" s="2" t="s">
        <v>27</v>
      </c>
      <c r="E2414" s="5">
        <v>-29645</v>
      </c>
      <c r="F2414" s="3" t="s">
        <v>577</v>
      </c>
      <c r="G2414" s="3" t="s">
        <v>106</v>
      </c>
      <c r="H2414" s="2" t="s">
        <v>36</v>
      </c>
      <c r="I2414" s="2" t="s">
        <v>5790</v>
      </c>
      <c r="J2414" s="3" t="str">
        <f>HYPERLINK("https://www.boe.es/gazeta/dias/1818/10/31/pdfs/GMD-1818-132.pdf#page=5","Abrir facsímil")</f>
        <v>Abrir facsímil</v>
      </c>
      <c r="K2414" s="3" t="s">
        <v>38</v>
      </c>
    </row>
    <row r="2415" spans="1:11" ht="42" customHeight="1">
      <c r="A2415" s="2" t="s">
        <v>5786</v>
      </c>
      <c r="B2415" s="2" t="s">
        <v>5787</v>
      </c>
      <c r="C2415" s="2" t="s">
        <v>26</v>
      </c>
      <c r="D2415" s="2" t="s">
        <v>27</v>
      </c>
      <c r="E2415" s="5">
        <v>-29607</v>
      </c>
      <c r="F2415" s="3" t="s">
        <v>704</v>
      </c>
      <c r="G2415" s="3" t="s">
        <v>59</v>
      </c>
      <c r="H2415" s="2" t="s">
        <v>36</v>
      </c>
      <c r="I2415" s="2" t="s">
        <v>5791</v>
      </c>
      <c r="J2415" s="3" t="str">
        <f>HYPERLINK("https://www.boe.es/gazeta/dias/1818/12/08/pdfs/GMD-1818-148.pdf#page=6","Abrir facsímil")</f>
        <v>Abrir facsímil</v>
      </c>
      <c r="K2415" s="3" t="s">
        <v>38</v>
      </c>
    </row>
    <row r="2416" spans="1:11" ht="42" customHeight="1">
      <c r="A2416" s="2" t="s">
        <v>5786</v>
      </c>
      <c r="B2416" s="2" t="s">
        <v>5787</v>
      </c>
      <c r="C2416" s="2" t="s">
        <v>26</v>
      </c>
      <c r="D2416" s="2" t="s">
        <v>27</v>
      </c>
      <c r="E2416" s="5">
        <v>-29596</v>
      </c>
      <c r="F2416" s="3" t="s">
        <v>555</v>
      </c>
      <c r="G2416" s="3" t="s">
        <v>59</v>
      </c>
      <c r="H2416" s="2" t="s">
        <v>36</v>
      </c>
      <c r="I2416" s="2" t="s">
        <v>5792</v>
      </c>
      <c r="J2416" s="3" t="str">
        <f>HYPERLINK("https://www.boe.es/gazeta/dias/1818/12/19/pdfs/GMD-1818-153.pdf#page=6","Abrir facsímil")</f>
        <v>Abrir facsímil</v>
      </c>
      <c r="K2416" s="3" t="s">
        <v>38</v>
      </c>
    </row>
    <row r="2417" spans="1:11" ht="42" customHeight="1">
      <c r="A2417" s="2" t="s">
        <v>5793</v>
      </c>
      <c r="B2417" s="2" t="s">
        <v>5794</v>
      </c>
      <c r="C2417" s="2" t="s">
        <v>68</v>
      </c>
      <c r="D2417" s="2" t="s">
        <v>69</v>
      </c>
      <c r="E2417" s="5">
        <v>-29915</v>
      </c>
      <c r="F2417" s="3" t="s">
        <v>429</v>
      </c>
      <c r="G2417" s="3" t="s">
        <v>45</v>
      </c>
      <c r="H2417" s="2" t="s">
        <v>36</v>
      </c>
      <c r="I2417" s="2" t="s">
        <v>5795</v>
      </c>
      <c r="J2417" s="3" t="str">
        <f>HYPERLINK("https://www.boe.es/gazeta/dias/1818/02/03/pdfs/GMD-1818-15.pdf#page=8","Abrir facsímil")</f>
        <v>Abrir facsímil</v>
      </c>
      <c r="K2417" s="3" t="s">
        <v>38</v>
      </c>
    </row>
    <row r="2418" spans="1:11" ht="42" customHeight="1">
      <c r="A2418" s="2" t="s">
        <v>5796</v>
      </c>
      <c r="B2418" s="2" t="s">
        <v>5797</v>
      </c>
      <c r="C2418" s="2" t="s">
        <v>26</v>
      </c>
      <c r="D2418" s="2" t="s">
        <v>27</v>
      </c>
      <c r="E2418" s="5">
        <v>-29869</v>
      </c>
      <c r="F2418" s="3" t="s">
        <v>140</v>
      </c>
      <c r="G2418" s="3" t="s">
        <v>59</v>
      </c>
      <c r="H2418" s="2" t="s">
        <v>21</v>
      </c>
      <c r="I2418" s="2" t="s">
        <v>5798</v>
      </c>
      <c r="J2418" s="3" t="str">
        <f>HYPERLINK("https://www.boe.es/gazeta/dias/1818/03/21/pdfs/GMD-1818-35.pdf#page=6","Abrir facsímil")</f>
        <v>Abrir facsímil</v>
      </c>
      <c r="K2418" s="3" t="s">
        <v>23</v>
      </c>
    </row>
    <row r="2419" spans="1:11" ht="42" customHeight="1">
      <c r="A2419" s="2" t="s">
        <v>5799</v>
      </c>
      <c r="B2419" s="2" t="s">
        <v>5800</v>
      </c>
      <c r="C2419" s="2" t="s">
        <v>26</v>
      </c>
      <c r="D2419" s="2" t="s">
        <v>27</v>
      </c>
      <c r="E2419" s="5">
        <v>-29782</v>
      </c>
      <c r="F2419" s="3" t="s">
        <v>226</v>
      </c>
      <c r="G2419" s="3" t="s">
        <v>20</v>
      </c>
      <c r="H2419" s="2" t="s">
        <v>36</v>
      </c>
      <c r="I2419" s="2" t="s">
        <v>5801</v>
      </c>
      <c r="J2419" s="3" t="str">
        <f>HYPERLINK("https://www.boe.es/gazeta/dias/1818/06/16/pdfs/GMD-1818-72.pdf#page=7","Abrir facsímil")</f>
        <v>Abrir facsímil</v>
      </c>
      <c r="K2419" s="3" t="s">
        <v>38</v>
      </c>
    </row>
    <row r="2420" spans="1:11" ht="42" customHeight="1">
      <c r="A2420" s="2" t="s">
        <v>5802</v>
      </c>
      <c r="B2420" s="2" t="s">
        <v>5803</v>
      </c>
      <c r="C2420" s="2" t="s">
        <v>26</v>
      </c>
      <c r="D2420" s="2" t="s">
        <v>27</v>
      </c>
      <c r="E2420" s="5">
        <v>-29745</v>
      </c>
      <c r="F2420" s="3" t="s">
        <v>409</v>
      </c>
      <c r="G2420" s="3" t="s">
        <v>59</v>
      </c>
      <c r="H2420" s="2" t="s">
        <v>36</v>
      </c>
      <c r="I2420" s="2" t="s">
        <v>5804</v>
      </c>
      <c r="J2420" s="3" t="str">
        <f>HYPERLINK("https://www.boe.es/gazeta/dias/1818/07/23/pdfs/GMD-1818-88.pdf#page=6","Abrir facsímil")</f>
        <v>Abrir facsímil</v>
      </c>
      <c r="K2420" s="3" t="s">
        <v>38</v>
      </c>
    </row>
    <row r="2421" spans="1:11" ht="42" customHeight="1">
      <c r="A2421" s="2" t="s">
        <v>5805</v>
      </c>
      <c r="B2421" s="2" t="s">
        <v>5806</v>
      </c>
      <c r="C2421" s="2" t="s">
        <v>26</v>
      </c>
      <c r="D2421" s="2" t="s">
        <v>27</v>
      </c>
      <c r="E2421" s="5">
        <v>-29691</v>
      </c>
      <c r="F2421" s="3" t="s">
        <v>144</v>
      </c>
      <c r="G2421" s="3" t="s">
        <v>29</v>
      </c>
      <c r="H2421" s="2" t="s">
        <v>36</v>
      </c>
      <c r="I2421" s="2" t="s">
        <v>5807</v>
      </c>
      <c r="J2421" s="3" t="str">
        <f>HYPERLINK("https://www.boe.es/gazeta/dias/1818/09/15/pdfs/GMD-1818-111.pdf#page=4","Abrir facsímil")</f>
        <v>Abrir facsímil</v>
      </c>
      <c r="K2421" s="3" t="s">
        <v>38</v>
      </c>
    </row>
    <row r="2422" spans="1:11" ht="42" customHeight="1">
      <c r="A2422" s="2" t="s">
        <v>5808</v>
      </c>
      <c r="B2422" s="2" t="s">
        <v>5809</v>
      </c>
      <c r="C2422" s="2" t="s">
        <v>68</v>
      </c>
      <c r="D2422" s="2" t="s">
        <v>69</v>
      </c>
      <c r="E2422" s="5">
        <v>-29747</v>
      </c>
      <c r="F2422" s="3" t="s">
        <v>536</v>
      </c>
      <c r="G2422" s="3" t="s">
        <v>20</v>
      </c>
      <c r="H2422" s="2" t="s">
        <v>36</v>
      </c>
      <c r="I2422" s="2" t="s">
        <v>5810</v>
      </c>
      <c r="J2422" s="3" t="str">
        <f>HYPERLINK("https://www.boe.es/gazeta/dias/1818/07/21/pdfs/GMD-1818-87.pdf#page=7","Abrir facsímil")</f>
        <v>Abrir facsímil</v>
      </c>
      <c r="K2422" s="3" t="s">
        <v>38</v>
      </c>
    </row>
    <row r="2423" spans="1:11" ht="42" customHeight="1">
      <c r="A2423" s="2" t="s">
        <v>5811</v>
      </c>
      <c r="B2423" s="2" t="s">
        <v>5811</v>
      </c>
      <c r="C2423" s="2" t="s">
        <v>26</v>
      </c>
      <c r="D2423" s="2" t="s">
        <v>27</v>
      </c>
      <c r="E2423" s="5">
        <v>-29680</v>
      </c>
      <c r="F2423" s="3" t="s">
        <v>865</v>
      </c>
      <c r="G2423" s="3" t="s">
        <v>29</v>
      </c>
      <c r="H2423" s="2" t="s">
        <v>36</v>
      </c>
      <c r="I2423" s="2" t="s">
        <v>5812</v>
      </c>
      <c r="J2423" s="3" t="str">
        <f>HYPERLINK("https://www.boe.es/gazeta/dias/1818/09/26/pdfs/GMD-1818-116.pdf#page=4","Abrir facsímil")</f>
        <v>Abrir facsímil</v>
      </c>
      <c r="K2423" s="3" t="s">
        <v>38</v>
      </c>
    </row>
    <row r="2424" spans="1:11" ht="42" customHeight="1">
      <c r="A2424" s="2" t="s">
        <v>5813</v>
      </c>
      <c r="B2424" s="2" t="s">
        <v>5814</v>
      </c>
      <c r="C2424" s="2" t="s">
        <v>26</v>
      </c>
      <c r="D2424" s="2" t="s">
        <v>27</v>
      </c>
      <c r="E2424" s="5">
        <v>-29808</v>
      </c>
      <c r="F2424" s="3" t="s">
        <v>80</v>
      </c>
      <c r="G2424" s="3" t="s">
        <v>29</v>
      </c>
      <c r="H2424" s="2" t="s">
        <v>36</v>
      </c>
      <c r="I2424" s="2" t="s">
        <v>5815</v>
      </c>
      <c r="J2424" s="3" t="str">
        <f>HYPERLINK("https://www.boe.es/gazeta/dias/1818/05/21/pdfs/GMD-1818-61.pdf#page=4","Abrir facsímil")</f>
        <v>Abrir facsímil</v>
      </c>
      <c r="K2424" s="3" t="s">
        <v>38</v>
      </c>
    </row>
    <row r="2425" spans="1:11" ht="42" customHeight="1">
      <c r="A2425" s="2" t="s">
        <v>5816</v>
      </c>
      <c r="B2425" s="2" t="s">
        <v>5817</v>
      </c>
      <c r="C2425" s="2" t="s">
        <v>26</v>
      </c>
      <c r="D2425" s="2" t="s">
        <v>27</v>
      </c>
      <c r="E2425" s="5">
        <v>-29894</v>
      </c>
      <c r="F2425" s="3" t="s">
        <v>820</v>
      </c>
      <c r="G2425" s="3" t="s">
        <v>85</v>
      </c>
      <c r="H2425" s="2" t="s">
        <v>36</v>
      </c>
      <c r="I2425" s="2" t="s">
        <v>5818</v>
      </c>
      <c r="J2425" s="3" t="str">
        <f>HYPERLINK("https://www.boe.es/gazeta/dias/1818/02/24/pdfs/GMD-1818-24.pdf#page=3","Abrir facsímil")</f>
        <v>Abrir facsímil</v>
      </c>
      <c r="K2425" s="3" t="s">
        <v>38</v>
      </c>
    </row>
    <row r="2426" spans="1:11" ht="42" customHeight="1">
      <c r="A2426" s="2" t="s">
        <v>5816</v>
      </c>
      <c r="B2426" s="2" t="s">
        <v>5817</v>
      </c>
      <c r="C2426" s="2" t="s">
        <v>17</v>
      </c>
      <c r="D2426" s="2" t="s">
        <v>18</v>
      </c>
      <c r="E2426" s="5">
        <v>-29808</v>
      </c>
      <c r="F2426" s="3" t="s">
        <v>80</v>
      </c>
      <c r="G2426" s="3" t="s">
        <v>85</v>
      </c>
      <c r="H2426" s="2" t="s">
        <v>36</v>
      </c>
      <c r="I2426" s="2" t="s">
        <v>5819</v>
      </c>
      <c r="J2426" s="3" t="str">
        <f>HYPERLINK("https://www.boe.es/gazeta/dias/1818/05/21/pdfs/GMD-1818-61.pdf#page=3","Abrir facsímil")</f>
        <v>Abrir facsímil</v>
      </c>
      <c r="K2426" s="3" t="s">
        <v>38</v>
      </c>
    </row>
    <row r="2427" spans="1:11" ht="42" customHeight="1">
      <c r="A2427" s="2" t="s">
        <v>5820</v>
      </c>
      <c r="B2427" s="2" t="s">
        <v>5821</v>
      </c>
      <c r="C2427" s="2" t="s">
        <v>26</v>
      </c>
      <c r="D2427" s="2" t="s">
        <v>27</v>
      </c>
      <c r="E2427" s="5">
        <v>-29806</v>
      </c>
      <c r="F2427" s="3" t="s">
        <v>84</v>
      </c>
      <c r="G2427" s="3" t="s">
        <v>4726</v>
      </c>
      <c r="H2427" s="2" t="s">
        <v>36</v>
      </c>
      <c r="I2427" s="2" t="s">
        <v>5822</v>
      </c>
      <c r="J2427" s="3" t="str">
        <f>HYPERLINK("https://www.boe.es/gazeta/dias/1818/05/23/pdfs/GMD-1818-62.pdf#page=5","Abrir facsímil")</f>
        <v>Abrir facsímil</v>
      </c>
      <c r="K2427" s="3" t="s">
        <v>38</v>
      </c>
    </row>
    <row r="2428" spans="1:11" ht="42" customHeight="1">
      <c r="A2428" s="2" t="s">
        <v>5816</v>
      </c>
      <c r="B2428" s="2" t="s">
        <v>5817</v>
      </c>
      <c r="C2428" s="2" t="s">
        <v>26</v>
      </c>
      <c r="D2428" s="2" t="s">
        <v>27</v>
      </c>
      <c r="E2428" s="5">
        <v>-29750</v>
      </c>
      <c r="F2428" s="3" t="s">
        <v>384</v>
      </c>
      <c r="G2428" s="3" t="s">
        <v>85</v>
      </c>
      <c r="H2428" s="2" t="s">
        <v>36</v>
      </c>
      <c r="I2428" s="2" t="s">
        <v>5823</v>
      </c>
      <c r="J2428" s="3" t="str">
        <f>HYPERLINK("https://www.boe.es/gazeta/dias/1818/07/18/pdfs/GMD-1818-86.pdf#page=3","Abrir facsímil")</f>
        <v>Abrir facsímil</v>
      </c>
      <c r="K2428" s="3" t="s">
        <v>38</v>
      </c>
    </row>
    <row r="2429" spans="1:11" ht="42" customHeight="1">
      <c r="A2429" s="2" t="s">
        <v>5816</v>
      </c>
      <c r="B2429" s="2" t="s">
        <v>5817</v>
      </c>
      <c r="C2429" s="2" t="s">
        <v>26</v>
      </c>
      <c r="D2429" s="2" t="s">
        <v>27</v>
      </c>
      <c r="E2429" s="5">
        <v>-29691</v>
      </c>
      <c r="F2429" s="3" t="s">
        <v>144</v>
      </c>
      <c r="G2429" s="3" t="s">
        <v>1904</v>
      </c>
      <c r="H2429" s="2" t="s">
        <v>36</v>
      </c>
      <c r="I2429" s="2" t="s">
        <v>5824</v>
      </c>
      <c r="J2429" s="3" t="str">
        <f>HYPERLINK("https://www.boe.es/gazeta/dias/1818/09/15/pdfs/GMD-1818-111.pdf#page=5","Abrir facsímil")</f>
        <v>Abrir facsímil</v>
      </c>
      <c r="K2429" s="3" t="s">
        <v>38</v>
      </c>
    </row>
    <row r="2430" spans="1:11" ht="42" customHeight="1">
      <c r="A2430" s="2" t="s">
        <v>5816</v>
      </c>
      <c r="B2430" s="2" t="s">
        <v>5817</v>
      </c>
      <c r="C2430" s="2" t="s">
        <v>26</v>
      </c>
      <c r="D2430" s="2" t="s">
        <v>27</v>
      </c>
      <c r="E2430" s="5">
        <v>-29691</v>
      </c>
      <c r="F2430" s="3" t="s">
        <v>144</v>
      </c>
      <c r="G2430" s="3" t="s">
        <v>59</v>
      </c>
      <c r="H2430" s="2" t="s">
        <v>36</v>
      </c>
      <c r="I2430" s="2" t="s">
        <v>5825</v>
      </c>
      <c r="J2430" s="3" t="str">
        <f>HYPERLINK("https://www.boe.es/gazeta/dias/1818/09/15/pdfs/GMD-1818-111.pdf#page=6","Abrir facsímil")</f>
        <v>Abrir facsímil</v>
      </c>
      <c r="K2430" s="3" t="s">
        <v>38</v>
      </c>
    </row>
    <row r="2431" spans="1:11" ht="42" customHeight="1">
      <c r="A2431" s="2" t="s">
        <v>5816</v>
      </c>
      <c r="B2431" s="2" t="s">
        <v>5817</v>
      </c>
      <c r="C2431" s="2" t="s">
        <v>26</v>
      </c>
      <c r="D2431" s="2" t="s">
        <v>27</v>
      </c>
      <c r="E2431" s="5">
        <v>-29684</v>
      </c>
      <c r="F2431" s="3" t="s">
        <v>311</v>
      </c>
      <c r="G2431" s="3" t="s">
        <v>106</v>
      </c>
      <c r="H2431" s="2" t="s">
        <v>36</v>
      </c>
      <c r="I2431" s="2" t="s">
        <v>5826</v>
      </c>
      <c r="J2431" s="3" t="str">
        <f>HYPERLINK("https://www.boe.es/gazeta/dias/1818/09/22/pdfs/GMD-1818-114.pdf#page=5","Abrir facsímil")</f>
        <v>Abrir facsímil</v>
      </c>
      <c r="K2431" s="3" t="s">
        <v>38</v>
      </c>
    </row>
    <row r="2432" spans="1:11" ht="42" customHeight="1">
      <c r="A2432" s="2" t="s">
        <v>5816</v>
      </c>
      <c r="B2432" s="2" t="s">
        <v>5817</v>
      </c>
      <c r="C2432" s="2" t="s">
        <v>26</v>
      </c>
      <c r="D2432" s="2" t="s">
        <v>27</v>
      </c>
      <c r="E2432" s="5">
        <v>-29684</v>
      </c>
      <c r="F2432" s="3" t="s">
        <v>311</v>
      </c>
      <c r="G2432" s="3" t="s">
        <v>59</v>
      </c>
      <c r="H2432" s="2" t="s">
        <v>36</v>
      </c>
      <c r="I2432" s="2" t="s">
        <v>5827</v>
      </c>
      <c r="J2432" s="3" t="str">
        <f>HYPERLINK("https://www.boe.es/gazeta/dias/1818/09/22/pdfs/GMD-1818-114.pdf#page=6","Abrir facsímil")</f>
        <v>Abrir facsímil</v>
      </c>
      <c r="K2432" s="3" t="s">
        <v>38</v>
      </c>
    </row>
    <row r="2433" spans="1:11" ht="42" customHeight="1">
      <c r="A2433" s="2" t="s">
        <v>5820</v>
      </c>
      <c r="B2433" s="2" t="s">
        <v>5821</v>
      </c>
      <c r="C2433" s="2" t="s">
        <v>26</v>
      </c>
      <c r="D2433" s="2" t="s">
        <v>27</v>
      </c>
      <c r="E2433" s="5">
        <v>-29680</v>
      </c>
      <c r="F2433" s="3" t="s">
        <v>865</v>
      </c>
      <c r="G2433" s="3" t="s">
        <v>85</v>
      </c>
      <c r="H2433" s="2" t="s">
        <v>36</v>
      </c>
      <c r="I2433" s="2" t="s">
        <v>5828</v>
      </c>
      <c r="J2433" s="3" t="str">
        <f>HYPERLINK("https://www.boe.es/gazeta/dias/1818/09/26/pdfs/GMD-1818-116.pdf#page=3","Abrir facsímil")</f>
        <v>Abrir facsímil</v>
      </c>
      <c r="K2433" s="3" t="s">
        <v>38</v>
      </c>
    </row>
    <row r="2434" spans="1:11" ht="42" customHeight="1">
      <c r="A2434" s="2" t="s">
        <v>5820</v>
      </c>
      <c r="B2434" s="2" t="s">
        <v>5821</v>
      </c>
      <c r="C2434" s="2" t="s">
        <v>26</v>
      </c>
      <c r="D2434" s="2" t="s">
        <v>27</v>
      </c>
      <c r="E2434" s="5">
        <v>-29680</v>
      </c>
      <c r="F2434" s="3" t="s">
        <v>865</v>
      </c>
      <c r="G2434" s="3" t="s">
        <v>59</v>
      </c>
      <c r="H2434" s="2" t="s">
        <v>36</v>
      </c>
      <c r="I2434" s="2" t="s">
        <v>5829</v>
      </c>
      <c r="J2434" s="3" t="str">
        <f>HYPERLINK("https://www.boe.es/gazeta/dias/1818/09/26/pdfs/GMD-1818-116.pdf#page=6","Abrir facsímil")</f>
        <v>Abrir facsímil</v>
      </c>
      <c r="K2434" s="3" t="s">
        <v>38</v>
      </c>
    </row>
    <row r="2435" spans="1:11" ht="42" customHeight="1">
      <c r="A2435" s="2" t="s">
        <v>5830</v>
      </c>
      <c r="B2435" s="2" t="s">
        <v>5831</v>
      </c>
      <c r="C2435" s="2" t="s">
        <v>26</v>
      </c>
      <c r="D2435" s="2" t="s">
        <v>27</v>
      </c>
      <c r="E2435" s="5">
        <v>-29691</v>
      </c>
      <c r="F2435" s="3" t="s">
        <v>144</v>
      </c>
      <c r="G2435" s="3" t="s">
        <v>29</v>
      </c>
      <c r="H2435" s="2" t="s">
        <v>36</v>
      </c>
      <c r="I2435" s="2" t="s">
        <v>5832</v>
      </c>
      <c r="J2435" s="3" t="str">
        <f>HYPERLINK("https://www.boe.es/gazeta/dias/1818/09/15/pdfs/GMD-1818-111.pdf#page=4","Abrir facsímil")</f>
        <v>Abrir facsímil</v>
      </c>
      <c r="K2435" s="3" t="s">
        <v>38</v>
      </c>
    </row>
    <row r="2436" spans="1:11" ht="42" customHeight="1">
      <c r="A2436" s="2" t="s">
        <v>5833</v>
      </c>
      <c r="B2436" s="2" t="s">
        <v>5834</v>
      </c>
      <c r="C2436" s="2" t="s">
        <v>26</v>
      </c>
      <c r="D2436" s="2" t="s">
        <v>27</v>
      </c>
      <c r="E2436" s="5">
        <v>-29645</v>
      </c>
      <c r="F2436" s="3" t="s">
        <v>577</v>
      </c>
      <c r="G2436" s="3" t="s">
        <v>45</v>
      </c>
      <c r="H2436" s="2" t="s">
        <v>36</v>
      </c>
      <c r="I2436" s="2" t="s">
        <v>5835</v>
      </c>
      <c r="J2436" s="3" t="str">
        <f>HYPERLINK("https://www.boe.es/gazeta/dias/1818/10/31/pdfs/GMD-1818-132.pdf#page=8","Abrir facsímil")</f>
        <v>Abrir facsímil</v>
      </c>
      <c r="K2436" s="3" t="s">
        <v>38</v>
      </c>
    </row>
    <row r="2437" spans="1:11" ht="42" customHeight="1">
      <c r="A2437" s="2" t="s">
        <v>5836</v>
      </c>
      <c r="B2437" s="2" t="s">
        <v>5837</v>
      </c>
      <c r="C2437" s="2" t="s">
        <v>26</v>
      </c>
      <c r="D2437" s="2" t="s">
        <v>27</v>
      </c>
      <c r="E2437" s="5">
        <v>-29878</v>
      </c>
      <c r="F2437" s="3" t="s">
        <v>353</v>
      </c>
      <c r="G2437" s="3" t="s">
        <v>29</v>
      </c>
      <c r="H2437" s="2" t="s">
        <v>36</v>
      </c>
      <c r="I2437" s="2" t="s">
        <v>5838</v>
      </c>
      <c r="J2437" s="3" t="str">
        <f>HYPERLINK("https://www.boe.es/gazeta/dias/1818/03/12/pdfs/GMD-1818-31.pdf#page=4","Abrir facsímil")</f>
        <v>Abrir facsímil</v>
      </c>
      <c r="K2437" s="3" t="s">
        <v>38</v>
      </c>
    </row>
    <row r="2438" spans="1:11" ht="42" customHeight="1">
      <c r="A2438" s="2" t="s">
        <v>5839</v>
      </c>
      <c r="B2438" s="2" t="s">
        <v>5839</v>
      </c>
      <c r="C2438" s="2" t="s">
        <v>33</v>
      </c>
      <c r="D2438" s="2" t="s">
        <v>18</v>
      </c>
      <c r="E2438" s="5">
        <v>-29698</v>
      </c>
      <c r="F2438" s="3" t="s">
        <v>148</v>
      </c>
      <c r="G2438" s="3" t="s">
        <v>29</v>
      </c>
      <c r="H2438" s="2" t="s">
        <v>36</v>
      </c>
      <c r="I2438" s="2" t="s">
        <v>5840</v>
      </c>
      <c r="J2438" s="3" t="str">
        <f>HYPERLINK("https://www.boe.es/gazeta/dias/1818/09/08/pdfs/GMD-1818-108.pdf#page=4","Abrir facsímil")</f>
        <v>Abrir facsímil</v>
      </c>
      <c r="K2438" s="3" t="s">
        <v>38</v>
      </c>
    </row>
    <row r="2439" spans="1:11" ht="42" customHeight="1">
      <c r="A2439" s="2" t="s">
        <v>5841</v>
      </c>
      <c r="B2439" s="2" t="s">
        <v>5842</v>
      </c>
      <c r="C2439" s="2" t="s">
        <v>26</v>
      </c>
      <c r="D2439" s="2" t="s">
        <v>27</v>
      </c>
      <c r="E2439" s="5">
        <v>-29918</v>
      </c>
      <c r="F2439" s="3" t="s">
        <v>89</v>
      </c>
      <c r="G2439" s="3" t="s">
        <v>1492</v>
      </c>
      <c r="H2439" s="2" t="s">
        <v>36</v>
      </c>
      <c r="I2439" s="2" t="s">
        <v>5843</v>
      </c>
      <c r="J2439" s="3" t="str">
        <f>HYPERLINK("https://www.boe.es/gazeta/dias/1818/01/31/pdfs/GMD-1818-14.pdf#page=6","Abrir facsímil")</f>
        <v>Abrir facsímil</v>
      </c>
      <c r="K2439" s="3" t="s">
        <v>38</v>
      </c>
    </row>
    <row r="2440" spans="1:11" ht="42" customHeight="1">
      <c r="A2440" s="2" t="s">
        <v>5844</v>
      </c>
      <c r="B2440" s="2" t="s">
        <v>5845</v>
      </c>
      <c r="C2440" s="2" t="s">
        <v>26</v>
      </c>
      <c r="D2440" s="2" t="s">
        <v>27</v>
      </c>
      <c r="E2440" s="5">
        <v>-29764</v>
      </c>
      <c r="F2440" s="3" t="s">
        <v>464</v>
      </c>
      <c r="G2440" s="3" t="s">
        <v>106</v>
      </c>
      <c r="H2440" s="2" t="s">
        <v>36</v>
      </c>
      <c r="I2440" s="2" t="s">
        <v>5846</v>
      </c>
      <c r="J2440" s="3" t="str">
        <f>HYPERLINK("https://www.boe.es/gazeta/dias/1818/07/04/pdfs/GMD-1818-80.pdf#page=5","Abrir facsímil")</f>
        <v>Abrir facsímil</v>
      </c>
      <c r="K2440" s="3" t="s">
        <v>38</v>
      </c>
    </row>
    <row r="2441" spans="1:11" ht="42" customHeight="1">
      <c r="A2441" s="2" t="s">
        <v>5847</v>
      </c>
      <c r="B2441" s="2" t="s">
        <v>5848</v>
      </c>
      <c r="C2441" s="2" t="s">
        <v>26</v>
      </c>
      <c r="D2441" s="2" t="s">
        <v>27</v>
      </c>
      <c r="E2441" s="5">
        <v>-29852</v>
      </c>
      <c r="F2441" s="3" t="s">
        <v>327</v>
      </c>
      <c r="G2441" s="3" t="s">
        <v>45</v>
      </c>
      <c r="H2441" s="2" t="s">
        <v>36</v>
      </c>
      <c r="I2441" s="2" t="s">
        <v>5849</v>
      </c>
      <c r="J2441" s="3" t="str">
        <f>HYPERLINK("https://www.boe.es/gazeta/dias/1818/04/07/pdfs/GMD-1818-42.pdf#page=8","Abrir facsímil")</f>
        <v>Abrir facsímil</v>
      </c>
      <c r="K2441" s="3" t="s">
        <v>38</v>
      </c>
    </row>
    <row r="2442" spans="1:11" ht="42" customHeight="1">
      <c r="A2442" s="2" t="s">
        <v>5850</v>
      </c>
      <c r="B2442" s="2" t="s">
        <v>5851</v>
      </c>
      <c r="C2442" s="2" t="s">
        <v>68</v>
      </c>
      <c r="D2442" s="2" t="s">
        <v>69</v>
      </c>
      <c r="E2442" s="5">
        <v>-29649</v>
      </c>
      <c r="F2442" s="3" t="s">
        <v>585</v>
      </c>
      <c r="G2442" s="3" t="s">
        <v>45</v>
      </c>
      <c r="H2442" s="2" t="s">
        <v>36</v>
      </c>
      <c r="I2442" s="2" t="s">
        <v>5852</v>
      </c>
      <c r="J2442" s="3" t="str">
        <f>HYPERLINK("https://www.boe.es/gazeta/dias/1818/10/27/pdfs/GMD-1818-130.pdf#page=8","Abrir facsímil")</f>
        <v>Abrir facsímil</v>
      </c>
      <c r="K2442" s="3" t="s">
        <v>38</v>
      </c>
    </row>
    <row r="2443" spans="1:11" ht="42" customHeight="1">
      <c r="A2443" s="2" t="s">
        <v>5853</v>
      </c>
      <c r="B2443" s="2" t="s">
        <v>5854</v>
      </c>
      <c r="C2443" s="2" t="s">
        <v>26</v>
      </c>
      <c r="D2443" s="2" t="s">
        <v>27</v>
      </c>
      <c r="E2443" s="5">
        <v>-29913</v>
      </c>
      <c r="F2443" s="3" t="s">
        <v>449</v>
      </c>
      <c r="G2443" s="3" t="s">
        <v>5747</v>
      </c>
      <c r="H2443" s="2" t="s">
        <v>36</v>
      </c>
      <c r="I2443" s="2" t="s">
        <v>5855</v>
      </c>
      <c r="J2443" s="3" t="str">
        <f>HYPERLINK("https://www.boe.es/gazeta/dias/1818/02/05/pdfs/GMD-1818-16.pdf#page=4","Abrir facsímil")</f>
        <v>Abrir facsímil</v>
      </c>
      <c r="K2443" s="3" t="s">
        <v>38</v>
      </c>
    </row>
    <row r="2444" spans="1:11" ht="42" customHeight="1">
      <c r="A2444" s="2" t="s">
        <v>5853</v>
      </c>
      <c r="B2444" s="2" t="s">
        <v>5854</v>
      </c>
      <c r="C2444" s="2" t="s">
        <v>26</v>
      </c>
      <c r="D2444" s="2" t="s">
        <v>27</v>
      </c>
      <c r="E2444" s="5">
        <v>-29913</v>
      </c>
      <c r="F2444" s="3" t="s">
        <v>449</v>
      </c>
      <c r="G2444" s="3" t="s">
        <v>59</v>
      </c>
      <c r="H2444" s="2" t="s">
        <v>36</v>
      </c>
      <c r="I2444" s="2" t="s">
        <v>5856</v>
      </c>
      <c r="J2444" s="3" t="str">
        <f>HYPERLINK("https://www.boe.es/gazeta/dias/1818/02/05/pdfs/GMD-1818-16.pdf#page=6","Abrir facsímil")</f>
        <v>Abrir facsímil</v>
      </c>
      <c r="K2444" s="3" t="s">
        <v>38</v>
      </c>
    </row>
    <row r="2445" spans="1:11" ht="42" customHeight="1">
      <c r="A2445" s="2" t="s">
        <v>5857</v>
      </c>
      <c r="B2445" s="2" t="s">
        <v>5858</v>
      </c>
      <c r="C2445" s="2" t="s">
        <v>26</v>
      </c>
      <c r="D2445" s="2" t="s">
        <v>27</v>
      </c>
      <c r="E2445" s="5">
        <v>-29913</v>
      </c>
      <c r="F2445" s="3" t="s">
        <v>449</v>
      </c>
      <c r="G2445" s="3" t="s">
        <v>45</v>
      </c>
      <c r="H2445" s="2" t="s">
        <v>36</v>
      </c>
      <c r="I2445" s="2" t="s">
        <v>5859</v>
      </c>
      <c r="J2445" s="3" t="str">
        <f>HYPERLINK("https://www.boe.es/gazeta/dias/1818/02/05/pdfs/GMD-1818-16.pdf#page=8","Abrir facsímil")</f>
        <v>Abrir facsímil</v>
      </c>
      <c r="K2445" s="3" t="s">
        <v>38</v>
      </c>
    </row>
    <row r="2446" spans="1:11" ht="42" customHeight="1">
      <c r="A2446" s="2" t="s">
        <v>5860</v>
      </c>
      <c r="B2446" s="2" t="s">
        <v>5861</v>
      </c>
      <c r="C2446" s="2" t="s">
        <v>26</v>
      </c>
      <c r="D2446" s="2" t="s">
        <v>27</v>
      </c>
      <c r="E2446" s="5">
        <v>-29642</v>
      </c>
      <c r="F2446" s="3" t="s">
        <v>248</v>
      </c>
      <c r="G2446" s="3" t="s">
        <v>20</v>
      </c>
      <c r="H2446" s="2" t="s">
        <v>36</v>
      </c>
      <c r="I2446" s="2" t="s">
        <v>5862</v>
      </c>
      <c r="J2446" s="3" t="str">
        <f>HYPERLINK("https://www.boe.es/gazeta/dias/1818/11/03/pdfs/GMD-1818-133.pdf#page=7","Abrir facsímil")</f>
        <v>Abrir facsímil</v>
      </c>
      <c r="K2446" s="3" t="s">
        <v>38</v>
      </c>
    </row>
    <row r="2447" spans="1:11" ht="42" customHeight="1">
      <c r="A2447" s="2" t="s">
        <v>5863</v>
      </c>
      <c r="B2447" s="2" t="s">
        <v>5863</v>
      </c>
      <c r="C2447" s="2" t="s">
        <v>57</v>
      </c>
      <c r="D2447" s="2" t="s">
        <v>18</v>
      </c>
      <c r="E2447" s="5">
        <v>-29932</v>
      </c>
      <c r="F2447" s="3" t="s">
        <v>34</v>
      </c>
      <c r="G2447" s="3" t="s">
        <v>5864</v>
      </c>
      <c r="H2447" s="2" t="s">
        <v>36</v>
      </c>
      <c r="I2447" s="2" t="s">
        <v>5865</v>
      </c>
      <c r="J2447" s="3" t="str">
        <f>HYPERLINK("https://www.boe.es/gazeta/dias/1818/01/17/pdfs/GMD-1818-8.pdf#page=1","Abrir facsímil")</f>
        <v>Abrir facsímil</v>
      </c>
      <c r="K2447" s="3" t="s">
        <v>38</v>
      </c>
    </row>
    <row r="2448" spans="1:11" ht="42" customHeight="1">
      <c r="A2448" s="2" t="s">
        <v>5866</v>
      </c>
      <c r="B2448" s="2" t="s">
        <v>5867</v>
      </c>
      <c r="C2448" s="2" t="s">
        <v>68</v>
      </c>
      <c r="D2448" s="2" t="s">
        <v>69</v>
      </c>
      <c r="E2448" s="5">
        <v>-29733</v>
      </c>
      <c r="F2448" s="3" t="s">
        <v>482</v>
      </c>
      <c r="G2448" s="3" t="s">
        <v>116</v>
      </c>
      <c r="H2448" s="2" t="s">
        <v>21</v>
      </c>
      <c r="I2448" s="2" t="s">
        <v>5868</v>
      </c>
      <c r="J2448" s="3" t="str">
        <f>HYPERLINK("https://www.boe.es/gazeta/dias/1818/08/04/pdfs/GMD-1818-93.pdf#page=12","Abrir facsímil")</f>
        <v>Abrir facsímil</v>
      </c>
      <c r="K2448" s="3" t="s">
        <v>23</v>
      </c>
    </row>
    <row r="2449" spans="1:11" ht="42" customHeight="1">
      <c r="A2449" s="2" t="s">
        <v>5869</v>
      </c>
      <c r="B2449" s="2" t="s">
        <v>5870</v>
      </c>
      <c r="C2449" s="2" t="s">
        <v>68</v>
      </c>
      <c r="D2449" s="2" t="s">
        <v>69</v>
      </c>
      <c r="E2449" s="5">
        <v>-29918</v>
      </c>
      <c r="F2449" s="3" t="s">
        <v>89</v>
      </c>
      <c r="G2449" s="3" t="s">
        <v>111</v>
      </c>
      <c r="H2449" s="2" t="s">
        <v>21</v>
      </c>
      <c r="I2449" s="2" t="s">
        <v>5871</v>
      </c>
      <c r="J2449" s="3" t="str">
        <f>HYPERLINK("https://www.boe.es/gazeta/dias/1818/01/31/pdfs/GMD-1818-14.pdf#page=11","Abrir facsímil")</f>
        <v>Abrir facsímil</v>
      </c>
      <c r="K2449" s="3" t="s">
        <v>23</v>
      </c>
    </row>
    <row r="2450" spans="1:11" ht="42" customHeight="1">
      <c r="A2450" s="2" t="s">
        <v>5869</v>
      </c>
      <c r="B2450" s="2" t="s">
        <v>5870</v>
      </c>
      <c r="C2450" s="2" t="s">
        <v>26</v>
      </c>
      <c r="D2450" s="2" t="s">
        <v>27</v>
      </c>
      <c r="E2450" s="5">
        <v>-29764</v>
      </c>
      <c r="F2450" s="3" t="s">
        <v>464</v>
      </c>
      <c r="G2450" s="3" t="s">
        <v>45</v>
      </c>
      <c r="H2450" s="2" t="s">
        <v>21</v>
      </c>
      <c r="I2450" s="2" t="s">
        <v>5872</v>
      </c>
      <c r="J2450" s="3" t="str">
        <f>HYPERLINK("https://www.boe.es/gazeta/dias/1818/07/04/pdfs/GMD-1818-80.pdf#page=8","Abrir facsímil")</f>
        <v>Abrir facsímil</v>
      </c>
      <c r="K2450" s="3" t="s">
        <v>23</v>
      </c>
    </row>
    <row r="2451" spans="1:11" ht="42" customHeight="1">
      <c r="A2451" s="2" t="s">
        <v>5873</v>
      </c>
      <c r="B2451" s="2" t="s">
        <v>5874</v>
      </c>
      <c r="C2451" s="2" t="s">
        <v>68</v>
      </c>
      <c r="D2451" s="2" t="s">
        <v>69</v>
      </c>
      <c r="E2451" s="5">
        <v>-29719</v>
      </c>
      <c r="F2451" s="3" t="s">
        <v>243</v>
      </c>
      <c r="G2451" s="3" t="s">
        <v>2921</v>
      </c>
      <c r="H2451" s="2" t="s">
        <v>21</v>
      </c>
      <c r="I2451" s="2" t="s">
        <v>5875</v>
      </c>
      <c r="J2451" s="3" t="str">
        <f>HYPERLINK("https://www.boe.es/gazeta/dias/1818/08/18/pdfs/GMD-1818-99.pdf#page=12","Abrir facsímil")</f>
        <v>Abrir facsímil</v>
      </c>
      <c r="K2451" s="3" t="s">
        <v>23</v>
      </c>
    </row>
    <row r="2452" spans="1:11" ht="42" customHeight="1">
      <c r="A2452" s="2" t="s">
        <v>5869</v>
      </c>
      <c r="B2452" s="2" t="s">
        <v>5870</v>
      </c>
      <c r="C2452" s="2" t="s">
        <v>68</v>
      </c>
      <c r="D2452" s="2" t="s">
        <v>69</v>
      </c>
      <c r="E2452" s="5">
        <v>-29698</v>
      </c>
      <c r="F2452" s="3" t="s">
        <v>148</v>
      </c>
      <c r="G2452" s="3" t="s">
        <v>45</v>
      </c>
      <c r="H2452" s="2" t="s">
        <v>21</v>
      </c>
      <c r="I2452" s="2" t="s">
        <v>5876</v>
      </c>
      <c r="J2452" s="3" t="str">
        <f>HYPERLINK("https://www.boe.es/gazeta/dias/1818/09/08/pdfs/GMD-1818-108.pdf#page=8","Abrir facsímil")</f>
        <v>Abrir facsímil</v>
      </c>
      <c r="K2452" s="3" t="s">
        <v>23</v>
      </c>
    </row>
    <row r="2453" spans="1:11" ht="42" customHeight="1">
      <c r="A2453" s="2" t="s">
        <v>5869</v>
      </c>
      <c r="B2453" s="2" t="s">
        <v>5870</v>
      </c>
      <c r="C2453" s="2" t="s">
        <v>68</v>
      </c>
      <c r="D2453" s="2" t="s">
        <v>69</v>
      </c>
      <c r="E2453" s="5">
        <v>-29687</v>
      </c>
      <c r="F2453" s="3" t="s">
        <v>686</v>
      </c>
      <c r="G2453" s="3" t="s">
        <v>45</v>
      </c>
      <c r="H2453" s="2" t="s">
        <v>21</v>
      </c>
      <c r="I2453" s="2" t="s">
        <v>5877</v>
      </c>
      <c r="J2453" s="3" t="str">
        <f>HYPERLINK("https://www.boe.es/gazeta/dias/1818/09/19/pdfs/GMD-1818-113.pdf#page=8","Abrir facsímil")</f>
        <v>Abrir facsímil</v>
      </c>
      <c r="K2453" s="3" t="s">
        <v>23</v>
      </c>
    </row>
    <row r="2454" spans="1:11" ht="42" customHeight="1">
      <c r="A2454" s="2" t="s">
        <v>5869</v>
      </c>
      <c r="B2454" s="2" t="s">
        <v>5870</v>
      </c>
      <c r="C2454" s="2" t="s">
        <v>68</v>
      </c>
      <c r="D2454" s="2" t="s">
        <v>69</v>
      </c>
      <c r="E2454" s="5">
        <v>-29661</v>
      </c>
      <c r="F2454" s="3" t="s">
        <v>348</v>
      </c>
      <c r="G2454" s="3" t="s">
        <v>349</v>
      </c>
      <c r="H2454" s="2" t="s">
        <v>21</v>
      </c>
      <c r="I2454" s="2" t="s">
        <v>5878</v>
      </c>
      <c r="J2454" s="3" t="str">
        <f>HYPERLINK("https://www.boe.es/gazeta/dias/1818/10/15/pdfs/GMD-1818-124.pdf#page=8","Abrir facsímil")</f>
        <v>Abrir facsímil</v>
      </c>
      <c r="K2454" s="3" t="s">
        <v>23</v>
      </c>
    </row>
    <row r="2455" spans="1:11" ht="42" customHeight="1">
      <c r="A2455" s="2" t="s">
        <v>5869</v>
      </c>
      <c r="B2455" s="2" t="s">
        <v>5870</v>
      </c>
      <c r="C2455" s="2" t="s">
        <v>26</v>
      </c>
      <c r="D2455" s="2" t="s">
        <v>27</v>
      </c>
      <c r="E2455" s="5">
        <v>-29642</v>
      </c>
      <c r="F2455" s="3" t="s">
        <v>248</v>
      </c>
      <c r="G2455" s="3" t="s">
        <v>249</v>
      </c>
      <c r="H2455" s="2" t="s">
        <v>21</v>
      </c>
      <c r="I2455" s="2" t="s">
        <v>5879</v>
      </c>
      <c r="J2455" s="3" t="str">
        <f>HYPERLINK("https://www.boe.es/gazeta/dias/1818/11/03/pdfs/GMD-1818-133.pdf#page=8","Abrir facsímil")</f>
        <v>Abrir facsímil</v>
      </c>
      <c r="K2455" s="3" t="s">
        <v>23</v>
      </c>
    </row>
    <row r="2456" spans="1:11" ht="42" customHeight="1">
      <c r="A2456" s="2" t="s">
        <v>5869</v>
      </c>
      <c r="B2456" s="2" t="s">
        <v>5870</v>
      </c>
      <c r="C2456" s="2" t="s">
        <v>68</v>
      </c>
      <c r="D2456" s="2" t="s">
        <v>69</v>
      </c>
      <c r="E2456" s="5">
        <v>-29635</v>
      </c>
      <c r="F2456" s="3" t="s">
        <v>560</v>
      </c>
      <c r="G2456" s="3" t="s">
        <v>45</v>
      </c>
      <c r="H2456" s="2" t="s">
        <v>21</v>
      </c>
      <c r="I2456" s="2" t="s">
        <v>5880</v>
      </c>
      <c r="J2456" s="3" t="str">
        <f>HYPERLINK("https://www.boe.es/gazeta/dias/1818/11/10/pdfs/GMD-1818-136.pdf#page=8","Abrir facsímil")</f>
        <v>Abrir facsímil</v>
      </c>
      <c r="K2456" s="3" t="s">
        <v>23</v>
      </c>
    </row>
    <row r="2457" spans="1:11" ht="42" customHeight="1">
      <c r="A2457" s="2" t="s">
        <v>5869</v>
      </c>
      <c r="B2457" s="2" t="s">
        <v>5870</v>
      </c>
      <c r="C2457" s="2" t="s">
        <v>26</v>
      </c>
      <c r="D2457" s="2" t="s">
        <v>27</v>
      </c>
      <c r="E2457" s="5">
        <v>-29626</v>
      </c>
      <c r="F2457" s="3" t="s">
        <v>496</v>
      </c>
      <c r="G2457" s="3" t="s">
        <v>45</v>
      </c>
      <c r="H2457" s="2" t="s">
        <v>21</v>
      </c>
      <c r="I2457" s="2" t="s">
        <v>5881</v>
      </c>
      <c r="J2457" s="3" t="str">
        <f>HYPERLINK("https://www.boe.es/gazeta/dias/1818/11/19/pdfs/GMD-1818-140.pdf#page=8","Abrir facsímil")</f>
        <v>Abrir facsímil</v>
      </c>
      <c r="K2457" s="3" t="s">
        <v>23</v>
      </c>
    </row>
    <row r="2458" spans="1:11" ht="42" customHeight="1">
      <c r="A2458" s="2" t="s">
        <v>5869</v>
      </c>
      <c r="B2458" s="2" t="s">
        <v>5870</v>
      </c>
      <c r="C2458" s="2" t="s">
        <v>68</v>
      </c>
      <c r="D2458" s="2" t="s">
        <v>69</v>
      </c>
      <c r="E2458" s="5">
        <v>-29605</v>
      </c>
      <c r="F2458" s="3" t="s">
        <v>888</v>
      </c>
      <c r="G2458" s="3" t="s">
        <v>1327</v>
      </c>
      <c r="H2458" s="2" t="s">
        <v>21</v>
      </c>
      <c r="I2458" s="2" t="s">
        <v>5882</v>
      </c>
      <c r="J2458" s="3" t="str">
        <f>HYPERLINK("https://www.boe.es/gazeta/dias/1818/12/10/pdfs/GMD-1818-149.pdf#page=8","Abrir facsímil")</f>
        <v>Abrir facsímil</v>
      </c>
      <c r="K2458" s="3" t="s">
        <v>23</v>
      </c>
    </row>
    <row r="2459" spans="1:11" ht="42" customHeight="1">
      <c r="A2459" s="2" t="s">
        <v>5869</v>
      </c>
      <c r="B2459" s="2" t="s">
        <v>5870</v>
      </c>
      <c r="C2459" s="2" t="s">
        <v>68</v>
      </c>
      <c r="D2459" s="2" t="s">
        <v>69</v>
      </c>
      <c r="E2459" s="5">
        <v>-29593</v>
      </c>
      <c r="F2459" s="3" t="s">
        <v>185</v>
      </c>
      <c r="G2459" s="3" t="s">
        <v>20</v>
      </c>
      <c r="H2459" s="2" t="s">
        <v>21</v>
      </c>
      <c r="I2459" s="2" t="s">
        <v>5883</v>
      </c>
      <c r="J2459" s="3" t="str">
        <f>HYPERLINK("https://www.boe.es/gazeta/dias/1818/12/22/pdfs/GMD-1818-154.pdf#page=7","Abrir facsímil")</f>
        <v>Abrir facsímil</v>
      </c>
      <c r="K2459" s="3" t="s">
        <v>23</v>
      </c>
    </row>
    <row r="2460" spans="1:11" ht="42" customHeight="1">
      <c r="A2460" s="2" t="s">
        <v>5884</v>
      </c>
      <c r="B2460" s="2" t="s">
        <v>5885</v>
      </c>
      <c r="C2460" s="2" t="s">
        <v>215</v>
      </c>
      <c r="D2460" s="2" t="s">
        <v>18</v>
      </c>
      <c r="E2460" s="5">
        <v>-29836</v>
      </c>
      <c r="F2460" s="3" t="s">
        <v>119</v>
      </c>
      <c r="G2460" s="3" t="s">
        <v>120</v>
      </c>
      <c r="H2460" s="2" t="s">
        <v>36</v>
      </c>
      <c r="I2460" s="2" t="s">
        <v>5886</v>
      </c>
      <c r="J2460" s="3" t="str">
        <f>HYPERLINK("https://www.boe.es/gazeta/dias/1818/04/23/pdfs/GMD-1818-49.pdf#page=2","Abrir facsímil")</f>
        <v>Abrir facsímil</v>
      </c>
      <c r="K2460" s="3" t="s">
        <v>38</v>
      </c>
    </row>
    <row r="2461" spans="1:11" ht="42" customHeight="1">
      <c r="A2461" s="2" t="s">
        <v>5887</v>
      </c>
      <c r="B2461" s="2" t="s">
        <v>5888</v>
      </c>
      <c r="C2461" s="2" t="s">
        <v>68</v>
      </c>
      <c r="D2461" s="2" t="s">
        <v>69</v>
      </c>
      <c r="E2461" s="5">
        <v>-29864</v>
      </c>
      <c r="F2461" s="3" t="s">
        <v>196</v>
      </c>
      <c r="G2461" s="3" t="s">
        <v>49</v>
      </c>
      <c r="H2461" s="2" t="s">
        <v>36</v>
      </c>
      <c r="I2461" s="2" t="s">
        <v>5889</v>
      </c>
      <c r="J2461" s="3" t="str">
        <f>HYPERLINK("https://www.boe.es/gazeta/dias/1818/03/26/pdfs/GMD-1818-37.pdf#page=1","Abrir facsímil")</f>
        <v>Abrir facsímil</v>
      </c>
      <c r="K2461" s="3" t="s">
        <v>38</v>
      </c>
    </row>
    <row r="2462" spans="1:11" ht="42" customHeight="1">
      <c r="A2462" s="2" t="s">
        <v>5890</v>
      </c>
      <c r="B2462" s="2" t="s">
        <v>5891</v>
      </c>
      <c r="C2462" s="2" t="s">
        <v>26</v>
      </c>
      <c r="D2462" s="2" t="s">
        <v>27</v>
      </c>
      <c r="E2462" s="5">
        <v>-29864</v>
      </c>
      <c r="F2462" s="3" t="s">
        <v>196</v>
      </c>
      <c r="G2462" s="3" t="s">
        <v>49</v>
      </c>
      <c r="H2462" s="2" t="s">
        <v>36</v>
      </c>
      <c r="I2462" s="2" t="s">
        <v>5892</v>
      </c>
      <c r="J2462" s="3" t="str">
        <f>HYPERLINK("https://www.boe.es/gazeta/dias/1818/03/26/pdfs/GMD-1818-37.pdf#page=1","Abrir facsímil")</f>
        <v>Abrir facsímil</v>
      </c>
      <c r="K2462" s="3" t="s">
        <v>38</v>
      </c>
    </row>
    <row r="2463" spans="1:11" ht="42" customHeight="1">
      <c r="A2463" s="2" t="s">
        <v>5893</v>
      </c>
      <c r="B2463" s="2" t="s">
        <v>5894</v>
      </c>
      <c r="C2463" s="2" t="s">
        <v>26</v>
      </c>
      <c r="D2463" s="2" t="s">
        <v>27</v>
      </c>
      <c r="E2463" s="5">
        <v>-29736</v>
      </c>
      <c r="F2463" s="3" t="s">
        <v>581</v>
      </c>
      <c r="G2463" s="3" t="s">
        <v>49</v>
      </c>
      <c r="H2463" s="2" t="s">
        <v>36</v>
      </c>
      <c r="I2463" s="2" t="s">
        <v>5895</v>
      </c>
      <c r="J2463" s="3" t="str">
        <f>HYPERLINK("https://www.boe.es/gazeta/dias/1818/08/01/pdfs/GMD-1818-92.pdf#page=1","Abrir facsímil")</f>
        <v>Abrir facsímil</v>
      </c>
      <c r="K2463" s="3" t="s">
        <v>38</v>
      </c>
    </row>
    <row r="2464" spans="1:11" ht="42" customHeight="1">
      <c r="A2464" s="2" t="s">
        <v>5896</v>
      </c>
      <c r="B2464" s="2" t="s">
        <v>5897</v>
      </c>
      <c r="C2464" s="2" t="s">
        <v>68</v>
      </c>
      <c r="D2464" s="2" t="s">
        <v>69</v>
      </c>
      <c r="E2464" s="5">
        <v>-29922</v>
      </c>
      <c r="F2464" s="3" t="s">
        <v>174</v>
      </c>
      <c r="G2464" s="3" t="s">
        <v>45</v>
      </c>
      <c r="H2464" s="2" t="s">
        <v>36</v>
      </c>
      <c r="I2464" s="2" t="s">
        <v>5898</v>
      </c>
      <c r="J2464" s="3" t="str">
        <f>HYPERLINK("https://www.boe.es/gazeta/dias/1818/01/27/pdfs/GMD-1818-12.pdf#page=8","Abrir facsímil")</f>
        <v>Abrir facsímil</v>
      </c>
      <c r="K2464" s="3" t="s">
        <v>38</v>
      </c>
    </row>
    <row r="2465" spans="1:11" ht="42" customHeight="1">
      <c r="A2465" s="2" t="s">
        <v>5899</v>
      </c>
      <c r="B2465" s="2" t="s">
        <v>5900</v>
      </c>
      <c r="C2465" s="2" t="s">
        <v>26</v>
      </c>
      <c r="D2465" s="2" t="s">
        <v>27</v>
      </c>
      <c r="E2465" s="5">
        <v>-29600</v>
      </c>
      <c r="F2465" s="3" t="s">
        <v>697</v>
      </c>
      <c r="G2465" s="3" t="s">
        <v>20</v>
      </c>
      <c r="H2465" s="2" t="s">
        <v>36</v>
      </c>
      <c r="I2465" s="2" t="s">
        <v>5901</v>
      </c>
      <c r="J2465" s="3" t="str">
        <f>HYPERLINK("https://www.boe.es/gazeta/dias/1818/12/15/pdfs/GMD-1818-151.pdf#page=7","Abrir facsímil")</f>
        <v>Abrir facsímil</v>
      </c>
      <c r="K2465" s="3" t="s">
        <v>38</v>
      </c>
    </row>
    <row r="2466" spans="1:11" ht="42" customHeight="1">
      <c r="A2466" s="2" t="s">
        <v>5902</v>
      </c>
      <c r="B2466" s="2" t="s">
        <v>5903</v>
      </c>
      <c r="C2466" s="2" t="s">
        <v>26</v>
      </c>
      <c r="D2466" s="2" t="s">
        <v>27</v>
      </c>
      <c r="E2466" s="5">
        <v>-29934</v>
      </c>
      <c r="F2466" s="3" t="s">
        <v>53</v>
      </c>
      <c r="G2466" s="3" t="s">
        <v>2001</v>
      </c>
      <c r="H2466" s="2" t="s">
        <v>36</v>
      </c>
      <c r="I2466" s="2" t="s">
        <v>5904</v>
      </c>
      <c r="J2466" s="3" t="str">
        <f>HYPERLINK("https://www.boe.es/gazeta/dias/1818/01/15/pdfs/GMD-1818-7.pdf#page=4","Abrir facsímil")</f>
        <v>Abrir facsímil</v>
      </c>
      <c r="K2466" s="3" t="s">
        <v>38</v>
      </c>
    </row>
    <row r="2467" spans="1:11" ht="42" customHeight="1">
      <c r="A2467" s="2" t="s">
        <v>5905</v>
      </c>
      <c r="B2467" s="2" t="s">
        <v>5906</v>
      </c>
      <c r="C2467" s="2" t="s">
        <v>26</v>
      </c>
      <c r="D2467" s="2" t="s">
        <v>27</v>
      </c>
      <c r="E2467" s="5">
        <v>-29764</v>
      </c>
      <c r="F2467" s="3" t="s">
        <v>464</v>
      </c>
      <c r="G2467" s="3" t="s">
        <v>106</v>
      </c>
      <c r="H2467" s="2" t="s">
        <v>36</v>
      </c>
      <c r="I2467" s="2" t="s">
        <v>5907</v>
      </c>
      <c r="J2467" s="3" t="str">
        <f>HYPERLINK("https://www.boe.es/gazeta/dias/1818/07/04/pdfs/GMD-1818-80.pdf#page=5","Abrir facsímil")</f>
        <v>Abrir facsímil</v>
      </c>
      <c r="K2467" s="3" t="s">
        <v>38</v>
      </c>
    </row>
    <row r="2468" spans="1:11" ht="42" customHeight="1">
      <c r="A2468" s="2" t="s">
        <v>5905</v>
      </c>
      <c r="B2468" s="2" t="s">
        <v>5906</v>
      </c>
      <c r="C2468" s="2" t="s">
        <v>26</v>
      </c>
      <c r="D2468" s="2" t="s">
        <v>27</v>
      </c>
      <c r="E2468" s="5">
        <v>-29740</v>
      </c>
      <c r="F2468" s="3" t="s">
        <v>152</v>
      </c>
      <c r="G2468" s="3" t="s">
        <v>153</v>
      </c>
      <c r="H2468" s="2" t="s">
        <v>36</v>
      </c>
      <c r="I2468" s="2" t="s">
        <v>5908</v>
      </c>
      <c r="J2468" s="3" t="str">
        <f>HYPERLINK("https://www.boe.es/gazeta/dias/1818/07/28/pdfs/GMD-1818-90.pdf#page=6","Abrir facsímil")</f>
        <v>Abrir facsímil</v>
      </c>
      <c r="K2468" s="3" t="s">
        <v>38</v>
      </c>
    </row>
    <row r="2469" spans="1:11" ht="42" customHeight="1">
      <c r="A2469" s="2" t="s">
        <v>5909</v>
      </c>
      <c r="B2469" s="2" t="s">
        <v>5910</v>
      </c>
      <c r="C2469" s="2" t="s">
        <v>68</v>
      </c>
      <c r="D2469" s="2" t="s">
        <v>69</v>
      </c>
      <c r="E2469" s="5">
        <v>-29878</v>
      </c>
      <c r="F2469" s="3" t="s">
        <v>353</v>
      </c>
      <c r="G2469" s="3" t="s">
        <v>45</v>
      </c>
      <c r="H2469" s="2" t="s">
        <v>36</v>
      </c>
      <c r="I2469" s="2" t="s">
        <v>5911</v>
      </c>
      <c r="J2469" s="3" t="str">
        <f>HYPERLINK("https://www.boe.es/gazeta/dias/1818/03/12/pdfs/GMD-1818-31.pdf#page=8","Abrir facsímil")</f>
        <v>Abrir facsímil</v>
      </c>
      <c r="K2469" s="3" t="s">
        <v>38</v>
      </c>
    </row>
    <row r="2470" spans="1:11" ht="42" customHeight="1">
      <c r="A2470" s="2" t="s">
        <v>5912</v>
      </c>
      <c r="B2470" s="2" t="s">
        <v>5912</v>
      </c>
      <c r="C2470" s="2" t="s">
        <v>26</v>
      </c>
      <c r="D2470" s="2" t="s">
        <v>27</v>
      </c>
      <c r="E2470" s="5">
        <v>-29757</v>
      </c>
      <c r="F2470" s="3" t="s">
        <v>115</v>
      </c>
      <c r="G2470" s="3" t="s">
        <v>106</v>
      </c>
      <c r="H2470" s="2" t="s">
        <v>36</v>
      </c>
      <c r="I2470" s="2" t="s">
        <v>5913</v>
      </c>
      <c r="J2470" s="3" t="str">
        <f>HYPERLINK("https://www.boe.es/gazeta/dias/1818/07/11/pdfs/GMD-1818-83.pdf#page=5","Abrir facsímil")</f>
        <v>Abrir facsímil</v>
      </c>
      <c r="K2470" s="3" t="s">
        <v>38</v>
      </c>
    </row>
    <row r="2471" spans="1:11" ht="42" customHeight="1">
      <c r="A2471" s="2" t="s">
        <v>5914</v>
      </c>
      <c r="B2471" s="2" t="s">
        <v>5915</v>
      </c>
      <c r="C2471" s="2" t="s">
        <v>26</v>
      </c>
      <c r="D2471" s="2" t="s">
        <v>27</v>
      </c>
      <c r="E2471" s="5">
        <v>-29873</v>
      </c>
      <c r="F2471" s="3" t="s">
        <v>323</v>
      </c>
      <c r="G2471" s="3" t="s">
        <v>85</v>
      </c>
      <c r="H2471" s="2" t="s">
        <v>36</v>
      </c>
      <c r="I2471" s="2" t="s">
        <v>5916</v>
      </c>
      <c r="J2471" s="3" t="str">
        <f>HYPERLINK("https://www.boe.es/gazeta/dias/1818/03/17/pdfs/GMD-1818-33.pdf#page=3","Abrir facsímil")</f>
        <v>Abrir facsímil</v>
      </c>
      <c r="K2471" s="3" t="s">
        <v>38</v>
      </c>
    </row>
    <row r="2472" spans="1:11" ht="42" customHeight="1">
      <c r="A2472" s="2" t="s">
        <v>5917</v>
      </c>
      <c r="B2472" s="2" t="s">
        <v>5918</v>
      </c>
      <c r="C2472" s="2" t="s">
        <v>26</v>
      </c>
      <c r="D2472" s="2" t="s">
        <v>27</v>
      </c>
      <c r="E2472" s="5">
        <v>-29740</v>
      </c>
      <c r="F2472" s="3" t="s">
        <v>152</v>
      </c>
      <c r="G2472" s="3" t="s">
        <v>153</v>
      </c>
      <c r="H2472" s="2" t="s">
        <v>36</v>
      </c>
      <c r="I2472" s="2" t="s">
        <v>5919</v>
      </c>
      <c r="J2472" s="3" t="str">
        <f>HYPERLINK("https://www.boe.es/gazeta/dias/1818/07/28/pdfs/GMD-1818-90.pdf#page=6","Abrir facsímil")</f>
        <v>Abrir facsímil</v>
      </c>
      <c r="K2472" s="3" t="s">
        <v>38</v>
      </c>
    </row>
    <row r="2473" spans="1:11" ht="42" customHeight="1">
      <c r="A2473" s="2" t="s">
        <v>5920</v>
      </c>
      <c r="B2473" s="2" t="s">
        <v>5921</v>
      </c>
      <c r="C2473" s="2" t="s">
        <v>57</v>
      </c>
      <c r="D2473" s="2" t="s">
        <v>18</v>
      </c>
      <c r="E2473" s="5">
        <v>-29698</v>
      </c>
      <c r="F2473" s="3" t="s">
        <v>148</v>
      </c>
      <c r="G2473" s="3" t="s">
        <v>59</v>
      </c>
      <c r="H2473" s="2" t="s">
        <v>36</v>
      </c>
      <c r="I2473" s="2" t="s">
        <v>5922</v>
      </c>
      <c r="J2473" s="3" t="str">
        <f>HYPERLINK("https://www.boe.es/gazeta/dias/1818/09/08/pdfs/GMD-1818-108.pdf#page=6","Abrir facsímil")</f>
        <v>Abrir facsímil</v>
      </c>
      <c r="K2473" s="3" t="s">
        <v>38</v>
      </c>
    </row>
    <row r="2474" spans="1:11" ht="42" customHeight="1">
      <c r="A2474" s="2" t="s">
        <v>5923</v>
      </c>
      <c r="B2474" s="2" t="s">
        <v>5924</v>
      </c>
      <c r="C2474" s="2" t="s">
        <v>26</v>
      </c>
      <c r="D2474" s="2" t="s">
        <v>27</v>
      </c>
      <c r="E2474" s="5">
        <v>-29593</v>
      </c>
      <c r="F2474" s="3" t="s">
        <v>185</v>
      </c>
      <c r="G2474" s="3" t="s">
        <v>186</v>
      </c>
      <c r="H2474" s="2" t="s">
        <v>36</v>
      </c>
      <c r="I2474" s="2" t="s">
        <v>5925</v>
      </c>
      <c r="J2474" s="3" t="str">
        <f>HYPERLINK("https://www.boe.es/gazeta/dias/1818/12/22/pdfs/GMD-1818-154.pdf#page=5","Abrir facsímil")</f>
        <v>Abrir facsímil</v>
      </c>
      <c r="K2474" s="3" t="s">
        <v>38</v>
      </c>
    </row>
    <row r="2475" spans="1:11" ht="42" customHeight="1">
      <c r="A2475" s="2" t="s">
        <v>5926</v>
      </c>
      <c r="B2475" s="2" t="s">
        <v>5927</v>
      </c>
      <c r="C2475" s="2" t="s">
        <v>17</v>
      </c>
      <c r="D2475" s="2" t="s">
        <v>18</v>
      </c>
      <c r="E2475" s="5">
        <v>-29880</v>
      </c>
      <c r="F2475" s="3" t="s">
        <v>359</v>
      </c>
      <c r="G2475" s="3" t="s">
        <v>106</v>
      </c>
      <c r="H2475" s="2" t="s">
        <v>36</v>
      </c>
      <c r="I2475" s="2" t="s">
        <v>5928</v>
      </c>
      <c r="J2475" s="3" t="str">
        <f>HYPERLINK("https://www.boe.es/gazeta/dias/1818/03/10/pdfs/GMD-1818-30.pdf#page=5","Abrir facsímil")</f>
        <v>Abrir facsímil</v>
      </c>
      <c r="K2475" s="3" t="s">
        <v>38</v>
      </c>
    </row>
    <row r="2476" spans="1:11" ht="42" customHeight="1">
      <c r="A2476" s="2" t="s">
        <v>5929</v>
      </c>
      <c r="B2476" s="2" t="s">
        <v>5930</v>
      </c>
      <c r="C2476" s="2" t="s">
        <v>17</v>
      </c>
      <c r="D2476" s="2" t="s">
        <v>18</v>
      </c>
      <c r="E2476" s="5">
        <v>-29698</v>
      </c>
      <c r="F2476" s="3" t="s">
        <v>148</v>
      </c>
      <c r="G2476" s="3" t="s">
        <v>59</v>
      </c>
      <c r="H2476" s="2" t="s">
        <v>36</v>
      </c>
      <c r="I2476" s="2" t="s">
        <v>5931</v>
      </c>
      <c r="J2476" s="3" t="str">
        <f>HYPERLINK("https://www.boe.es/gazeta/dias/1818/09/08/pdfs/GMD-1818-108.pdf#page=6","Abrir facsímil")</f>
        <v>Abrir facsímil</v>
      </c>
      <c r="K2476" s="3" t="s">
        <v>38</v>
      </c>
    </row>
    <row r="2477" spans="1:11" ht="42" customHeight="1">
      <c r="A2477" s="2" t="s">
        <v>5932</v>
      </c>
      <c r="B2477" s="2" t="s">
        <v>5933</v>
      </c>
      <c r="C2477" s="2" t="s">
        <v>26</v>
      </c>
      <c r="D2477" s="2" t="s">
        <v>27</v>
      </c>
      <c r="E2477" s="5">
        <v>-29915</v>
      </c>
      <c r="F2477" s="3" t="s">
        <v>429</v>
      </c>
      <c r="G2477" s="3" t="s">
        <v>1142</v>
      </c>
      <c r="H2477" s="2" t="s">
        <v>36</v>
      </c>
      <c r="I2477" s="2" t="s">
        <v>5934</v>
      </c>
      <c r="J2477" s="3" t="str">
        <f>HYPERLINK("https://www.boe.es/gazeta/dias/1818/02/03/pdfs/GMD-1818-15.pdf#page=6","Abrir facsímil")</f>
        <v>Abrir facsímil</v>
      </c>
      <c r="K2477" s="3" t="s">
        <v>38</v>
      </c>
    </row>
    <row r="2478" spans="1:11" ht="42" customHeight="1">
      <c r="A2478" s="2" t="s">
        <v>5932</v>
      </c>
      <c r="B2478" s="2" t="s">
        <v>5933</v>
      </c>
      <c r="C2478" s="2" t="s">
        <v>26</v>
      </c>
      <c r="D2478" s="2" t="s">
        <v>27</v>
      </c>
      <c r="E2478" s="5">
        <v>-29845</v>
      </c>
      <c r="F2478" s="3" t="s">
        <v>105</v>
      </c>
      <c r="G2478" s="3" t="s">
        <v>106</v>
      </c>
      <c r="H2478" s="2" t="s">
        <v>36</v>
      </c>
      <c r="I2478" s="2" t="s">
        <v>5935</v>
      </c>
      <c r="J2478" s="3" t="str">
        <f>HYPERLINK("https://www.boe.es/gazeta/dias/1818/04/14/pdfs/GMD-1818-45.pdf#page=5","Abrir facsímil")</f>
        <v>Abrir facsímil</v>
      </c>
      <c r="K2478" s="3" t="s">
        <v>38</v>
      </c>
    </row>
    <row r="2479" spans="1:11" ht="42" customHeight="1">
      <c r="A2479" s="2" t="s">
        <v>5936</v>
      </c>
      <c r="B2479" s="2" t="s">
        <v>5937</v>
      </c>
      <c r="C2479" s="2" t="s">
        <v>17</v>
      </c>
      <c r="D2479" s="2" t="s">
        <v>18</v>
      </c>
      <c r="E2479" s="5">
        <v>-29698</v>
      </c>
      <c r="F2479" s="3" t="s">
        <v>148</v>
      </c>
      <c r="G2479" s="3" t="s">
        <v>29</v>
      </c>
      <c r="H2479" s="2" t="s">
        <v>36</v>
      </c>
      <c r="I2479" s="2" t="s">
        <v>5938</v>
      </c>
      <c r="J2479" s="3" t="str">
        <f>HYPERLINK("https://www.boe.es/gazeta/dias/1818/09/08/pdfs/GMD-1818-108.pdf#page=4","Abrir facsímil")</f>
        <v>Abrir facsímil</v>
      </c>
      <c r="K2479" s="3" t="s">
        <v>38</v>
      </c>
    </row>
    <row r="2480" spans="1:11" ht="42" customHeight="1">
      <c r="A2480" s="2" t="s">
        <v>5939</v>
      </c>
      <c r="B2480" s="2" t="s">
        <v>5940</v>
      </c>
      <c r="C2480" s="2" t="s">
        <v>26</v>
      </c>
      <c r="D2480" s="2" t="s">
        <v>27</v>
      </c>
      <c r="E2480" s="5">
        <v>-29801</v>
      </c>
      <c r="F2480" s="3" t="s">
        <v>288</v>
      </c>
      <c r="G2480" s="3" t="s">
        <v>49</v>
      </c>
      <c r="H2480" s="2" t="s">
        <v>36</v>
      </c>
      <c r="I2480" s="2" t="s">
        <v>5941</v>
      </c>
      <c r="J2480" s="3" t="str">
        <f>HYPERLINK("https://www.boe.es/gazeta/dias/1818/05/28/pdfs/GMD-1818-64.pdf#page=1","Abrir facsímil")</f>
        <v>Abrir facsímil</v>
      </c>
      <c r="K2480" s="3" t="s">
        <v>38</v>
      </c>
    </row>
    <row r="2481" spans="1:11" ht="42" customHeight="1">
      <c r="A2481" s="2" t="s">
        <v>5942</v>
      </c>
      <c r="B2481" s="2" t="s">
        <v>5943</v>
      </c>
      <c r="C2481" s="2" t="s">
        <v>63</v>
      </c>
      <c r="D2481" s="2" t="s">
        <v>18</v>
      </c>
      <c r="E2481" s="5">
        <v>-29698</v>
      </c>
      <c r="F2481" s="3" t="s">
        <v>148</v>
      </c>
      <c r="G2481" s="3" t="s">
        <v>20</v>
      </c>
      <c r="H2481" s="2" t="s">
        <v>36</v>
      </c>
      <c r="I2481" s="2" t="s">
        <v>5944</v>
      </c>
      <c r="J2481" s="3" t="str">
        <f>HYPERLINK("https://www.boe.es/gazeta/dias/1818/09/08/pdfs/GMD-1818-108.pdf#page=7","Abrir facsímil")</f>
        <v>Abrir facsímil</v>
      </c>
      <c r="K2481" s="3" t="s">
        <v>38</v>
      </c>
    </row>
    <row r="2482" spans="1:11" ht="42" customHeight="1">
      <c r="A2482" s="2" t="s">
        <v>5945</v>
      </c>
      <c r="B2482" s="2" t="s">
        <v>5946</v>
      </c>
      <c r="C2482" s="2" t="s">
        <v>68</v>
      </c>
      <c r="D2482" s="2" t="s">
        <v>69</v>
      </c>
      <c r="E2482" s="5">
        <v>-29782</v>
      </c>
      <c r="F2482" s="3" t="s">
        <v>226</v>
      </c>
      <c r="G2482" s="3" t="s">
        <v>20</v>
      </c>
      <c r="H2482" s="2" t="s">
        <v>36</v>
      </c>
      <c r="I2482" s="2" t="s">
        <v>5947</v>
      </c>
      <c r="J2482" s="3" t="str">
        <f>HYPERLINK("https://www.boe.es/gazeta/dias/1818/06/16/pdfs/GMD-1818-72.pdf#page=7","Abrir facsímil")</f>
        <v>Abrir facsímil</v>
      </c>
      <c r="K2482" s="3" t="s">
        <v>38</v>
      </c>
    </row>
    <row r="2483" spans="1:11" ht="42" customHeight="1">
      <c r="A2483" s="2" t="s">
        <v>5948</v>
      </c>
      <c r="B2483" s="2" t="s">
        <v>5949</v>
      </c>
      <c r="C2483" s="2" t="s">
        <v>68</v>
      </c>
      <c r="D2483" s="2" t="s">
        <v>69</v>
      </c>
      <c r="E2483" s="5">
        <v>-29948</v>
      </c>
      <c r="F2483" s="3" t="s">
        <v>199</v>
      </c>
      <c r="G2483" s="3" t="s">
        <v>20</v>
      </c>
      <c r="H2483" s="2" t="s">
        <v>36</v>
      </c>
      <c r="I2483" s="2" t="s">
        <v>5950</v>
      </c>
      <c r="J2483" s="3" t="str">
        <f>HYPERLINK("https://www.boe.es/gazeta/dias/1818/01/01/pdfs/GMD-1818-1.pdf#page=7","Abrir facsímil")</f>
        <v>Abrir facsímil</v>
      </c>
      <c r="K2483" s="3" t="s">
        <v>38</v>
      </c>
    </row>
    <row r="2484" spans="1:11" ht="42" customHeight="1">
      <c r="A2484" s="2" t="s">
        <v>5948</v>
      </c>
      <c r="B2484" s="2" t="s">
        <v>5949</v>
      </c>
      <c r="C2484" s="2" t="s">
        <v>17</v>
      </c>
      <c r="D2484" s="2" t="s">
        <v>18</v>
      </c>
      <c r="E2484" s="5">
        <v>-29906</v>
      </c>
      <c r="F2484" s="3" t="s">
        <v>28</v>
      </c>
      <c r="G2484" s="3" t="s">
        <v>106</v>
      </c>
      <c r="H2484" s="2" t="s">
        <v>36</v>
      </c>
      <c r="I2484" s="2" t="s">
        <v>5951</v>
      </c>
      <c r="J2484" s="3" t="str">
        <f>HYPERLINK("https://www.boe.es/gazeta/dias/1818/02/12/pdfs/GMD-1818-19.pdf#page=5","Abrir facsímil")</f>
        <v>Abrir facsímil</v>
      </c>
      <c r="K2484" s="3" t="s">
        <v>38</v>
      </c>
    </row>
    <row r="2485" spans="1:11" ht="42" customHeight="1">
      <c r="A2485" s="2" t="s">
        <v>5948</v>
      </c>
      <c r="B2485" s="2" t="s">
        <v>5949</v>
      </c>
      <c r="C2485" s="2" t="s">
        <v>68</v>
      </c>
      <c r="D2485" s="2" t="s">
        <v>69</v>
      </c>
      <c r="E2485" s="5">
        <v>-29603</v>
      </c>
      <c r="F2485" s="3" t="s">
        <v>647</v>
      </c>
      <c r="G2485" s="3" t="s">
        <v>45</v>
      </c>
      <c r="H2485" s="2" t="s">
        <v>36</v>
      </c>
      <c r="I2485" s="2" t="s">
        <v>5952</v>
      </c>
      <c r="J2485" s="3" t="str">
        <f>HYPERLINK("https://www.boe.es/gazeta/dias/1818/12/12/pdfs/GMD-1818-150.pdf#page=8","Abrir facsímil")</f>
        <v>Abrir facsímil</v>
      </c>
      <c r="K2485" s="3" t="s">
        <v>38</v>
      </c>
    </row>
    <row r="2486" spans="1:11" ht="42" customHeight="1">
      <c r="A2486" s="2" t="s">
        <v>5953</v>
      </c>
      <c r="B2486" s="2" t="s">
        <v>5954</v>
      </c>
      <c r="C2486" s="2" t="s">
        <v>68</v>
      </c>
      <c r="D2486" s="2" t="s">
        <v>69</v>
      </c>
      <c r="E2486" s="5">
        <v>-29605</v>
      </c>
      <c r="F2486" s="3" t="s">
        <v>888</v>
      </c>
      <c r="G2486" s="3" t="s">
        <v>891</v>
      </c>
      <c r="H2486" s="2" t="s">
        <v>36</v>
      </c>
      <c r="I2486" s="2" t="s">
        <v>5955</v>
      </c>
      <c r="J2486" s="3" t="str">
        <f>HYPERLINK("https://www.boe.es/gazeta/dias/1818/12/10/pdfs/GMD-1818-149.pdf#page=7","Abrir facsímil")</f>
        <v>Abrir facsímil</v>
      </c>
      <c r="K2486" s="3" t="s">
        <v>38</v>
      </c>
    </row>
    <row r="2487" spans="1:11" ht="42" customHeight="1">
      <c r="A2487" s="2" t="s">
        <v>5956</v>
      </c>
      <c r="B2487" s="2" t="s">
        <v>5957</v>
      </c>
      <c r="C2487" s="2" t="s">
        <v>68</v>
      </c>
      <c r="D2487" s="2" t="s">
        <v>69</v>
      </c>
      <c r="E2487" s="5">
        <v>-29661</v>
      </c>
      <c r="F2487" s="3" t="s">
        <v>348</v>
      </c>
      <c r="G2487" s="3" t="s">
        <v>349</v>
      </c>
      <c r="H2487" s="2" t="s">
        <v>36</v>
      </c>
      <c r="I2487" s="2" t="s">
        <v>5958</v>
      </c>
      <c r="J2487" s="3" t="str">
        <f>HYPERLINK("https://www.boe.es/gazeta/dias/1818/10/15/pdfs/GMD-1818-124.pdf#page=8","Abrir facsímil")</f>
        <v>Abrir facsímil</v>
      </c>
      <c r="K2487" s="3" t="s">
        <v>38</v>
      </c>
    </row>
    <row r="2488" spans="1:11" ht="42" customHeight="1">
      <c r="A2488" s="2" t="s">
        <v>5959</v>
      </c>
      <c r="B2488" s="2" t="s">
        <v>5960</v>
      </c>
      <c r="C2488" s="2" t="s">
        <v>17</v>
      </c>
      <c r="D2488" s="2" t="s">
        <v>18</v>
      </c>
      <c r="E2488" s="5">
        <v>-29771</v>
      </c>
      <c r="F2488" s="3" t="s">
        <v>1260</v>
      </c>
      <c r="G2488" s="3" t="s">
        <v>4136</v>
      </c>
      <c r="H2488" s="2" t="s">
        <v>36</v>
      </c>
      <c r="I2488" s="2" t="s">
        <v>5961</v>
      </c>
      <c r="J2488" s="3" t="str">
        <f>HYPERLINK("https://www.boe.es/gazeta/dias/1818/06/27/pdfs/GMD-1818-77.pdf#page=4","Abrir facsímil")</f>
        <v>Abrir facsímil</v>
      </c>
      <c r="K2488" s="3" t="s">
        <v>38</v>
      </c>
    </row>
    <row r="2489" spans="1:11" ht="42" customHeight="1">
      <c r="A2489" s="2" t="s">
        <v>5959</v>
      </c>
      <c r="B2489" s="2" t="s">
        <v>5960</v>
      </c>
      <c r="C2489" s="2" t="s">
        <v>57</v>
      </c>
      <c r="D2489" s="2" t="s">
        <v>18</v>
      </c>
      <c r="E2489" s="5">
        <v>-29771</v>
      </c>
      <c r="F2489" s="3" t="s">
        <v>1260</v>
      </c>
      <c r="G2489" s="3" t="s">
        <v>106</v>
      </c>
      <c r="H2489" s="2" t="s">
        <v>36</v>
      </c>
      <c r="I2489" s="2" t="s">
        <v>5962</v>
      </c>
      <c r="J2489" s="3" t="str">
        <f>HYPERLINK("https://www.boe.es/gazeta/dias/1818/06/27/pdfs/GMD-1818-77.pdf#page=5","Abrir facsímil")</f>
        <v>Abrir facsímil</v>
      </c>
      <c r="K2489" s="3" t="s">
        <v>38</v>
      </c>
    </row>
    <row r="2490" spans="1:11" ht="42" customHeight="1">
      <c r="A2490" s="2" t="s">
        <v>5963</v>
      </c>
      <c r="B2490" s="2" t="s">
        <v>5964</v>
      </c>
      <c r="C2490" s="2" t="s">
        <v>17</v>
      </c>
      <c r="D2490" s="2" t="s">
        <v>18</v>
      </c>
      <c r="E2490" s="5">
        <v>-29757</v>
      </c>
      <c r="F2490" s="3" t="s">
        <v>115</v>
      </c>
      <c r="G2490" s="3" t="s">
        <v>106</v>
      </c>
      <c r="H2490" s="2" t="s">
        <v>36</v>
      </c>
      <c r="I2490" s="2" t="s">
        <v>5965</v>
      </c>
      <c r="J2490" s="3" t="str">
        <f>HYPERLINK("https://www.boe.es/gazeta/dias/1818/07/11/pdfs/GMD-1818-83.pdf#page=5","Abrir facsímil")</f>
        <v>Abrir facsímil</v>
      </c>
      <c r="K2490" s="3" t="s">
        <v>38</v>
      </c>
    </row>
    <row r="2491" spans="1:11" ht="42" customHeight="1">
      <c r="A2491" s="2" t="s">
        <v>5963</v>
      </c>
      <c r="B2491" s="2" t="s">
        <v>5964</v>
      </c>
      <c r="C2491" s="2" t="s">
        <v>26</v>
      </c>
      <c r="D2491" s="2" t="s">
        <v>27</v>
      </c>
      <c r="E2491" s="5">
        <v>-29738</v>
      </c>
      <c r="F2491" s="3" t="s">
        <v>263</v>
      </c>
      <c r="G2491" s="3" t="s">
        <v>59</v>
      </c>
      <c r="H2491" s="2" t="s">
        <v>36</v>
      </c>
      <c r="I2491" s="2" t="s">
        <v>5966</v>
      </c>
      <c r="J2491" s="3" t="str">
        <f>HYPERLINK("https://www.boe.es/gazeta/dias/1818/07/30/pdfs/GMD-1818-91.pdf#page=6","Abrir facsímil")</f>
        <v>Abrir facsímil</v>
      </c>
      <c r="K2491" s="3" t="s">
        <v>38</v>
      </c>
    </row>
    <row r="2492" spans="1:11" ht="42" customHeight="1">
      <c r="A2492" s="2" t="s">
        <v>5963</v>
      </c>
      <c r="B2492" s="2" t="s">
        <v>5964</v>
      </c>
      <c r="C2492" s="2" t="s">
        <v>26</v>
      </c>
      <c r="D2492" s="2" t="s">
        <v>27</v>
      </c>
      <c r="E2492" s="5">
        <v>-29738</v>
      </c>
      <c r="F2492" s="3" t="s">
        <v>263</v>
      </c>
      <c r="G2492" s="3" t="s">
        <v>20</v>
      </c>
      <c r="H2492" s="2" t="s">
        <v>36</v>
      </c>
      <c r="I2492" s="2" t="s">
        <v>5967</v>
      </c>
      <c r="J2492" s="3" t="str">
        <f>HYPERLINK("https://www.boe.es/gazeta/dias/1818/07/30/pdfs/GMD-1818-91.pdf#page=7","Abrir facsímil")</f>
        <v>Abrir facsímil</v>
      </c>
      <c r="K2492" s="3" t="s">
        <v>38</v>
      </c>
    </row>
    <row r="2493" spans="1:11" ht="42" customHeight="1">
      <c r="A2493" s="2" t="s">
        <v>5963</v>
      </c>
      <c r="B2493" s="2" t="s">
        <v>5964</v>
      </c>
      <c r="C2493" s="2" t="s">
        <v>26</v>
      </c>
      <c r="D2493" s="2" t="s">
        <v>27</v>
      </c>
      <c r="E2493" s="5">
        <v>-29719</v>
      </c>
      <c r="F2493" s="3" t="s">
        <v>243</v>
      </c>
      <c r="G2493" s="3" t="s">
        <v>244</v>
      </c>
      <c r="H2493" s="2" t="s">
        <v>36</v>
      </c>
      <c r="I2493" s="2" t="s">
        <v>5968</v>
      </c>
      <c r="J2493" s="3" t="str">
        <f>HYPERLINK("https://www.boe.es/gazeta/dias/1818/08/18/pdfs/GMD-1818-99.pdf#page=5","Abrir facsímil")</f>
        <v>Abrir facsímil</v>
      </c>
      <c r="K2493" s="3" t="s">
        <v>38</v>
      </c>
    </row>
    <row r="2494" spans="1:11" ht="42" customHeight="1">
      <c r="A2494" s="2" t="s">
        <v>5969</v>
      </c>
      <c r="B2494" s="2" t="s">
        <v>5970</v>
      </c>
      <c r="C2494" s="2" t="s">
        <v>26</v>
      </c>
      <c r="D2494" s="2" t="s">
        <v>27</v>
      </c>
      <c r="E2494" s="5">
        <v>-29738</v>
      </c>
      <c r="F2494" s="3" t="s">
        <v>263</v>
      </c>
      <c r="G2494" s="3" t="s">
        <v>20</v>
      </c>
      <c r="H2494" s="2" t="s">
        <v>36</v>
      </c>
      <c r="I2494" s="2" t="s">
        <v>5971</v>
      </c>
      <c r="J2494" s="3" t="str">
        <f>HYPERLINK("https://www.boe.es/gazeta/dias/1818/07/30/pdfs/GMD-1818-91.pdf#page=7","Abrir facsímil")</f>
        <v>Abrir facsímil</v>
      </c>
      <c r="K2494" s="3" t="s">
        <v>38</v>
      </c>
    </row>
    <row r="2495" spans="1:11" ht="42" customHeight="1">
      <c r="A2495" s="2" t="s">
        <v>5972</v>
      </c>
      <c r="B2495" s="2" t="s">
        <v>5973</v>
      </c>
      <c r="C2495" s="2" t="s">
        <v>97</v>
      </c>
      <c r="D2495" s="2" t="s">
        <v>18</v>
      </c>
      <c r="E2495" s="5">
        <v>-29801</v>
      </c>
      <c r="F2495" s="3" t="s">
        <v>288</v>
      </c>
      <c r="G2495" s="3" t="s">
        <v>45</v>
      </c>
      <c r="H2495" s="2" t="s">
        <v>36</v>
      </c>
      <c r="I2495" s="2" t="s">
        <v>5974</v>
      </c>
      <c r="J2495" s="3" t="str">
        <f>HYPERLINK("https://www.boe.es/gazeta/dias/1818/05/28/pdfs/GMD-1818-64.pdf#page=8","Abrir facsímil")</f>
        <v>Abrir facsímil</v>
      </c>
      <c r="K2495" s="3" t="s">
        <v>38</v>
      </c>
    </row>
    <row r="2496" spans="1:11" ht="42" customHeight="1">
      <c r="A2496" s="2" t="s">
        <v>5975</v>
      </c>
      <c r="B2496" s="2" t="s">
        <v>5976</v>
      </c>
      <c r="C2496" s="2" t="s">
        <v>33</v>
      </c>
      <c r="D2496" s="2" t="s">
        <v>18</v>
      </c>
      <c r="E2496" s="5">
        <v>-29820</v>
      </c>
      <c r="F2496" s="3" t="s">
        <v>2971</v>
      </c>
      <c r="G2496" s="3" t="s">
        <v>2972</v>
      </c>
      <c r="H2496" s="2" t="s">
        <v>36</v>
      </c>
      <c r="I2496" s="2" t="s">
        <v>5977</v>
      </c>
      <c r="J2496" s="3" t="str">
        <f>HYPERLINK("https://www.boe.es/gazeta/dias/1818/05/09/pdfs/GMD-1818-56.pdf#page=8","Abrir facsímil")</f>
        <v>Abrir facsímil</v>
      </c>
      <c r="K2496" s="3" t="s">
        <v>38</v>
      </c>
    </row>
    <row r="2497" spans="1:11" ht="42" customHeight="1">
      <c r="A2497" s="2" t="s">
        <v>5975</v>
      </c>
      <c r="B2497" s="2" t="s">
        <v>5976</v>
      </c>
      <c r="C2497" s="2" t="s">
        <v>68</v>
      </c>
      <c r="D2497" s="2" t="s">
        <v>69</v>
      </c>
      <c r="E2497" s="5">
        <v>-29794</v>
      </c>
      <c r="F2497" s="3" t="s">
        <v>127</v>
      </c>
      <c r="G2497" s="3" t="s">
        <v>20</v>
      </c>
      <c r="H2497" s="2" t="s">
        <v>36</v>
      </c>
      <c r="I2497" s="2" t="s">
        <v>5978</v>
      </c>
      <c r="J2497" s="3" t="str">
        <f>HYPERLINK("https://www.boe.es/gazeta/dias/1818/06/04/pdfs/GMD-1818-67.pdf#page=7","Abrir facsímil")</f>
        <v>Abrir facsímil</v>
      </c>
      <c r="K2497" s="3" t="s">
        <v>38</v>
      </c>
    </row>
    <row r="2498" spans="1:11" ht="42" customHeight="1">
      <c r="A2498" s="2" t="s">
        <v>5979</v>
      </c>
      <c r="B2498" s="2" t="s">
        <v>5980</v>
      </c>
      <c r="C2498" s="2" t="s">
        <v>17</v>
      </c>
      <c r="D2498" s="2" t="s">
        <v>18</v>
      </c>
      <c r="E2498" s="5">
        <v>-29698</v>
      </c>
      <c r="F2498" s="3" t="s">
        <v>148</v>
      </c>
      <c r="G2498" s="3" t="s">
        <v>59</v>
      </c>
      <c r="H2498" s="2" t="s">
        <v>36</v>
      </c>
      <c r="I2498" s="2" t="s">
        <v>5981</v>
      </c>
      <c r="J2498" s="3" t="str">
        <f>HYPERLINK("https://www.boe.es/gazeta/dias/1818/09/08/pdfs/GMD-1818-108.pdf#page=6","Abrir facsímil")</f>
        <v>Abrir facsímil</v>
      </c>
      <c r="K2498" s="3" t="s">
        <v>38</v>
      </c>
    </row>
    <row r="2499" spans="1:11" ht="42" customHeight="1">
      <c r="A2499" s="2" t="s">
        <v>5982</v>
      </c>
      <c r="B2499" s="2" t="s">
        <v>5983</v>
      </c>
      <c r="C2499" s="2" t="s">
        <v>26</v>
      </c>
      <c r="D2499" s="2" t="s">
        <v>27</v>
      </c>
      <c r="E2499" s="5">
        <v>-29738</v>
      </c>
      <c r="F2499" s="3" t="s">
        <v>263</v>
      </c>
      <c r="G2499" s="3" t="s">
        <v>59</v>
      </c>
      <c r="H2499" s="2" t="s">
        <v>36</v>
      </c>
      <c r="I2499" s="2" t="s">
        <v>5984</v>
      </c>
      <c r="J2499" s="3" t="str">
        <f>HYPERLINK("https://www.boe.es/gazeta/dias/1818/07/30/pdfs/GMD-1818-91.pdf#page=6","Abrir facsímil")</f>
        <v>Abrir facsímil</v>
      </c>
      <c r="K2499" s="3" t="s">
        <v>38</v>
      </c>
    </row>
    <row r="2500" spans="1:11" ht="42" customHeight="1">
      <c r="A2500" s="2" t="s">
        <v>5985</v>
      </c>
      <c r="B2500" s="2" t="s">
        <v>5986</v>
      </c>
      <c r="C2500" s="2" t="s">
        <v>68</v>
      </c>
      <c r="D2500" s="2" t="s">
        <v>69</v>
      </c>
      <c r="E2500" s="5">
        <v>-29661</v>
      </c>
      <c r="F2500" s="3" t="s">
        <v>348</v>
      </c>
      <c r="G2500" s="3" t="s">
        <v>349</v>
      </c>
      <c r="H2500" s="2" t="s">
        <v>36</v>
      </c>
      <c r="I2500" s="2" t="s">
        <v>5987</v>
      </c>
      <c r="J2500" s="3" t="str">
        <f>HYPERLINK("https://www.boe.es/gazeta/dias/1818/10/15/pdfs/GMD-1818-124.pdf#page=8","Abrir facsímil")</f>
        <v>Abrir facsímil</v>
      </c>
      <c r="K2500" s="3" t="s">
        <v>38</v>
      </c>
    </row>
    <row r="2501" spans="1:11" ht="42" customHeight="1">
      <c r="A2501" s="2" t="s">
        <v>5988</v>
      </c>
      <c r="B2501" s="2" t="s">
        <v>5989</v>
      </c>
      <c r="C2501" s="2" t="s">
        <v>26</v>
      </c>
      <c r="D2501" s="2" t="s">
        <v>27</v>
      </c>
      <c r="E2501" s="5">
        <v>-29806</v>
      </c>
      <c r="F2501" s="3" t="s">
        <v>84</v>
      </c>
      <c r="G2501" s="3" t="s">
        <v>29</v>
      </c>
      <c r="H2501" s="2" t="s">
        <v>36</v>
      </c>
      <c r="I2501" s="2" t="s">
        <v>5990</v>
      </c>
      <c r="J2501" s="3" t="str">
        <f>HYPERLINK("https://www.boe.es/gazeta/dias/1818/05/23/pdfs/GMD-1818-62.pdf#page=4","Abrir facsímil")</f>
        <v>Abrir facsímil</v>
      </c>
      <c r="K2501" s="3" t="s">
        <v>38</v>
      </c>
    </row>
    <row r="2502" spans="1:11" ht="42" customHeight="1">
      <c r="A2502" s="2" t="s">
        <v>5991</v>
      </c>
      <c r="B2502" s="2" t="s">
        <v>5992</v>
      </c>
      <c r="C2502" s="2" t="s">
        <v>57</v>
      </c>
      <c r="D2502" s="2" t="s">
        <v>18</v>
      </c>
      <c r="E2502" s="5">
        <v>-29794</v>
      </c>
      <c r="F2502" s="3" t="s">
        <v>127</v>
      </c>
      <c r="G2502" s="3" t="s">
        <v>45</v>
      </c>
      <c r="H2502" s="2" t="s">
        <v>36</v>
      </c>
      <c r="I2502" s="2" t="s">
        <v>5993</v>
      </c>
      <c r="J2502" s="3" t="str">
        <f>HYPERLINK("https://www.boe.es/gazeta/dias/1818/06/04/pdfs/GMD-1818-67.pdf#page=8","Abrir facsímil")</f>
        <v>Abrir facsímil</v>
      </c>
      <c r="K2502" s="3" t="s">
        <v>38</v>
      </c>
    </row>
    <row r="2503" spans="1:11" ht="42" customHeight="1">
      <c r="A2503" s="2" t="s">
        <v>5994</v>
      </c>
      <c r="B2503" s="2" t="s">
        <v>5995</v>
      </c>
      <c r="C2503" s="2" t="s">
        <v>68</v>
      </c>
      <c r="D2503" s="2" t="s">
        <v>69</v>
      </c>
      <c r="E2503" s="5">
        <v>-29684</v>
      </c>
      <c r="F2503" s="3" t="s">
        <v>311</v>
      </c>
      <c r="G2503" s="3" t="s">
        <v>45</v>
      </c>
      <c r="H2503" s="2" t="s">
        <v>36</v>
      </c>
      <c r="I2503" s="2" t="s">
        <v>5996</v>
      </c>
      <c r="J2503" s="3" t="str">
        <f>HYPERLINK("https://www.boe.es/gazeta/dias/1818/09/22/pdfs/GMD-1818-114.pdf#page=8","Abrir facsímil")</f>
        <v>Abrir facsímil</v>
      </c>
      <c r="K2503" s="3" t="s">
        <v>38</v>
      </c>
    </row>
    <row r="2504" spans="1:11" ht="42" customHeight="1">
      <c r="A2504" s="2" t="s">
        <v>5997</v>
      </c>
      <c r="B2504" s="2" t="s">
        <v>5997</v>
      </c>
      <c r="C2504" s="2" t="s">
        <v>26</v>
      </c>
      <c r="D2504" s="2" t="s">
        <v>27</v>
      </c>
      <c r="E2504" s="5">
        <v>-29677</v>
      </c>
      <c r="F2504" s="3" t="s">
        <v>157</v>
      </c>
      <c r="G2504" s="3" t="s">
        <v>20</v>
      </c>
      <c r="H2504" s="2" t="s">
        <v>36</v>
      </c>
      <c r="I2504" s="2" t="s">
        <v>5998</v>
      </c>
      <c r="J2504" s="3" t="str">
        <f>HYPERLINK("https://www.boe.es/gazeta/dias/1818/09/29/pdfs/GMD-1818-117.pdf#page=7","Abrir facsímil")</f>
        <v>Abrir facsímil</v>
      </c>
      <c r="K2504" s="3" t="s">
        <v>38</v>
      </c>
    </row>
    <row r="2505" spans="1:11" ht="42" customHeight="1">
      <c r="A2505" s="2" t="s">
        <v>5999</v>
      </c>
      <c r="B2505" s="2" t="s">
        <v>6000</v>
      </c>
      <c r="C2505" s="2" t="s">
        <v>17</v>
      </c>
      <c r="D2505" s="2" t="s">
        <v>18</v>
      </c>
      <c r="E2505" s="5">
        <v>-29750</v>
      </c>
      <c r="F2505" s="3" t="s">
        <v>384</v>
      </c>
      <c r="G2505" s="3" t="s">
        <v>59</v>
      </c>
      <c r="H2505" s="2" t="s">
        <v>36</v>
      </c>
      <c r="I2505" s="2" t="s">
        <v>6001</v>
      </c>
      <c r="J2505" s="3" t="str">
        <f>HYPERLINK("https://www.boe.es/gazeta/dias/1818/07/18/pdfs/GMD-1818-86.pdf#page=6","Abrir facsímil")</f>
        <v>Abrir facsímil</v>
      </c>
      <c r="K2505" s="3" t="s">
        <v>38</v>
      </c>
    </row>
    <row r="2506" spans="1:11" ht="42" customHeight="1">
      <c r="A2506" s="2" t="s">
        <v>6002</v>
      </c>
      <c r="B2506" s="2" t="s">
        <v>6003</v>
      </c>
      <c r="C2506" s="2" t="s">
        <v>33</v>
      </c>
      <c r="D2506" s="2" t="s">
        <v>18</v>
      </c>
      <c r="E2506" s="5">
        <v>-29698</v>
      </c>
      <c r="F2506" s="3" t="s">
        <v>148</v>
      </c>
      <c r="G2506" s="3" t="s">
        <v>29</v>
      </c>
      <c r="H2506" s="2" t="s">
        <v>36</v>
      </c>
      <c r="I2506" s="2" t="s">
        <v>6004</v>
      </c>
      <c r="J2506" s="3" t="str">
        <f>HYPERLINK("https://www.boe.es/gazeta/dias/1818/09/08/pdfs/GMD-1818-108.pdf#page=4","Abrir facsímil")</f>
        <v>Abrir facsímil</v>
      </c>
      <c r="K2506" s="3" t="s">
        <v>38</v>
      </c>
    </row>
    <row r="2507" spans="1:11" ht="42" customHeight="1">
      <c r="A2507" s="2" t="s">
        <v>6005</v>
      </c>
      <c r="B2507" s="2" t="s">
        <v>6006</v>
      </c>
      <c r="C2507" s="2" t="s">
        <v>17</v>
      </c>
      <c r="D2507" s="2" t="s">
        <v>18</v>
      </c>
      <c r="E2507" s="5">
        <v>-29708</v>
      </c>
      <c r="F2507" s="3" t="s">
        <v>413</v>
      </c>
      <c r="G2507" s="3" t="s">
        <v>106</v>
      </c>
      <c r="H2507" s="2" t="s">
        <v>36</v>
      </c>
      <c r="I2507" s="2" t="s">
        <v>6007</v>
      </c>
      <c r="J2507" s="3" t="str">
        <f>HYPERLINK("https://www.boe.es/gazeta/dias/1818/08/29/pdfs/GMD-1818-104.pdf#page=5","Abrir facsímil")</f>
        <v>Abrir facsímil</v>
      </c>
      <c r="K2507" s="3" t="s">
        <v>38</v>
      </c>
    </row>
    <row r="2508" spans="1:11" ht="42" customHeight="1">
      <c r="A2508" s="2" t="s">
        <v>6008</v>
      </c>
      <c r="B2508" s="2" t="s">
        <v>6009</v>
      </c>
      <c r="C2508" s="2" t="s">
        <v>68</v>
      </c>
      <c r="D2508" s="2" t="s">
        <v>69</v>
      </c>
      <c r="E2508" s="5">
        <v>-29624</v>
      </c>
      <c r="F2508" s="3" t="s">
        <v>131</v>
      </c>
      <c r="G2508" s="3" t="s">
        <v>20</v>
      </c>
      <c r="H2508" s="2" t="s">
        <v>36</v>
      </c>
      <c r="I2508" s="2" t="s">
        <v>6010</v>
      </c>
      <c r="J2508" s="3" t="str">
        <f>HYPERLINK("https://www.boe.es/gazeta/dias/1818/11/21/pdfs/GMD-1818-141.pdf#page=7","Abrir facsímil")</f>
        <v>Abrir facsímil</v>
      </c>
      <c r="K2508" s="3" t="s">
        <v>38</v>
      </c>
    </row>
    <row r="2509" spans="1:11" ht="42" customHeight="1">
      <c r="A2509" s="2" t="s">
        <v>6011</v>
      </c>
      <c r="B2509" s="2" t="s">
        <v>6012</v>
      </c>
      <c r="C2509" s="2" t="s">
        <v>26</v>
      </c>
      <c r="D2509" s="2" t="s">
        <v>27</v>
      </c>
      <c r="E2509" s="5">
        <v>-29806</v>
      </c>
      <c r="F2509" s="3" t="s">
        <v>84</v>
      </c>
      <c r="G2509" s="3" t="s">
        <v>120</v>
      </c>
      <c r="H2509" s="2" t="s">
        <v>36</v>
      </c>
      <c r="I2509" s="2" t="s">
        <v>6013</v>
      </c>
      <c r="J2509" s="3" t="str">
        <f>HYPERLINK("https://www.boe.es/gazeta/dias/1818/05/23/pdfs/GMD-1818-62.pdf#page=2","Abrir facsímil")</f>
        <v>Abrir facsímil</v>
      </c>
      <c r="K2509" s="3" t="s">
        <v>38</v>
      </c>
    </row>
    <row r="2510" spans="1:11" ht="42" customHeight="1">
      <c r="A2510" s="2" t="s">
        <v>6014</v>
      </c>
      <c r="B2510" s="2" t="s">
        <v>6015</v>
      </c>
      <c r="C2510" s="2" t="s">
        <v>68</v>
      </c>
      <c r="D2510" s="2" t="s">
        <v>69</v>
      </c>
      <c r="E2510" s="5">
        <v>-29806</v>
      </c>
      <c r="F2510" s="3" t="s">
        <v>84</v>
      </c>
      <c r="G2510" s="3" t="s">
        <v>49</v>
      </c>
      <c r="H2510" s="2" t="s">
        <v>36</v>
      </c>
      <c r="I2510" s="2" t="s">
        <v>6016</v>
      </c>
      <c r="J2510" s="3" t="str">
        <f>HYPERLINK("https://www.boe.es/gazeta/dias/1818/05/23/pdfs/GMD-1818-62.pdf#page=1","Abrir facsímil")</f>
        <v>Abrir facsímil</v>
      </c>
      <c r="K2510" s="3" t="s">
        <v>38</v>
      </c>
    </row>
    <row r="2511" spans="1:11" ht="42" customHeight="1">
      <c r="A2511" s="2" t="s">
        <v>6017</v>
      </c>
      <c r="B2511" s="2" t="s">
        <v>6018</v>
      </c>
      <c r="C2511" s="2" t="s">
        <v>26</v>
      </c>
      <c r="D2511" s="2" t="s">
        <v>27</v>
      </c>
      <c r="E2511" s="5">
        <v>-29705</v>
      </c>
      <c r="F2511" s="3" t="s">
        <v>680</v>
      </c>
      <c r="G2511" s="3" t="s">
        <v>29</v>
      </c>
      <c r="H2511" s="2" t="s">
        <v>36</v>
      </c>
      <c r="I2511" s="2" t="s">
        <v>6019</v>
      </c>
      <c r="J2511" s="3" t="str">
        <f>HYPERLINK("https://www.boe.es/gazeta/dias/1818/09/01/pdfs/GMD-1818-105.pdf#page=4","Abrir facsímil")</f>
        <v>Abrir facsímil</v>
      </c>
      <c r="K2511" s="3" t="s">
        <v>38</v>
      </c>
    </row>
    <row r="2512" spans="1:11" ht="42" customHeight="1">
      <c r="A2512" s="2" t="s">
        <v>6020</v>
      </c>
      <c r="B2512" s="2" t="s">
        <v>6021</v>
      </c>
      <c r="C2512" s="2" t="s">
        <v>26</v>
      </c>
      <c r="D2512" s="2" t="s">
        <v>27</v>
      </c>
      <c r="E2512" s="5">
        <v>-29915</v>
      </c>
      <c r="F2512" s="3" t="s">
        <v>429</v>
      </c>
      <c r="G2512" s="3" t="s">
        <v>1142</v>
      </c>
      <c r="H2512" s="2" t="s">
        <v>21</v>
      </c>
      <c r="I2512" s="2" t="s">
        <v>6022</v>
      </c>
      <c r="J2512" s="3" t="str">
        <f>HYPERLINK("https://www.boe.es/gazeta/dias/1818/02/03/pdfs/GMD-1818-15.pdf#page=6","Abrir facsímil")</f>
        <v>Abrir facsímil</v>
      </c>
      <c r="K2512" s="3" t="s">
        <v>23</v>
      </c>
    </row>
    <row r="2513" spans="1:11" ht="42" customHeight="1">
      <c r="A2513" s="2" t="s">
        <v>6023</v>
      </c>
      <c r="B2513" s="2" t="s">
        <v>6024</v>
      </c>
      <c r="C2513" s="2" t="s">
        <v>68</v>
      </c>
      <c r="D2513" s="2" t="s">
        <v>69</v>
      </c>
      <c r="E2513" s="5">
        <v>-29591</v>
      </c>
      <c r="F2513" s="3" t="s">
        <v>1414</v>
      </c>
      <c r="G2513" s="3" t="s">
        <v>106</v>
      </c>
      <c r="H2513" s="2" t="s">
        <v>36</v>
      </c>
      <c r="I2513" s="2" t="s">
        <v>6025</v>
      </c>
      <c r="J2513" s="3" t="str">
        <f>HYPERLINK("https://www.boe.es/gazeta/dias/1818/12/24/pdfs/GMD-1818-155.pdf#page=5","Abrir facsímil")</f>
        <v>Abrir facsímil</v>
      </c>
      <c r="K2513" s="3" t="s">
        <v>38</v>
      </c>
    </row>
    <row r="2514" spans="1:11" ht="42" customHeight="1">
      <c r="A2514" s="2" t="s">
        <v>6026</v>
      </c>
      <c r="B2514" s="2" t="s">
        <v>6027</v>
      </c>
      <c r="C2514" s="2" t="s">
        <v>68</v>
      </c>
      <c r="D2514" s="2" t="s">
        <v>668</v>
      </c>
      <c r="E2514" s="5">
        <v>-29661</v>
      </c>
      <c r="F2514" s="3" t="s">
        <v>669</v>
      </c>
      <c r="G2514" s="3" t="s">
        <v>29</v>
      </c>
      <c r="H2514" s="2" t="s">
        <v>36</v>
      </c>
      <c r="I2514" s="2" t="s">
        <v>6028</v>
      </c>
      <c r="J2514" s="3" t="str">
        <f>HYPERLINK("https://www.boe.es/gazeta/dias/1818/10/15/pdfs/GMD-1818-125E.pdf#page=4","Abrir facsímil")</f>
        <v>Abrir facsímil</v>
      </c>
      <c r="K2514" s="3" t="s">
        <v>38</v>
      </c>
    </row>
    <row r="2515" spans="1:11" ht="42" customHeight="1">
      <c r="A2515" s="2" t="s">
        <v>6029</v>
      </c>
      <c r="B2515" s="2" t="s">
        <v>6030</v>
      </c>
      <c r="C2515" s="2" t="s">
        <v>26</v>
      </c>
      <c r="D2515" s="2" t="s">
        <v>27</v>
      </c>
      <c r="E2515" s="5">
        <v>-29918</v>
      </c>
      <c r="F2515" s="3" t="s">
        <v>89</v>
      </c>
      <c r="G2515" s="3" t="s">
        <v>1492</v>
      </c>
      <c r="H2515" s="2" t="s">
        <v>36</v>
      </c>
      <c r="I2515" s="2" t="s">
        <v>6031</v>
      </c>
      <c r="J2515" s="3" t="str">
        <f>HYPERLINK("https://www.boe.es/gazeta/dias/1818/01/31/pdfs/GMD-1818-14.pdf#page=6","Abrir facsímil")</f>
        <v>Abrir facsímil</v>
      </c>
      <c r="K2515" s="3" t="s">
        <v>38</v>
      </c>
    </row>
    <row r="2516" spans="1:11" ht="42" customHeight="1">
      <c r="A2516" s="2" t="s">
        <v>6032</v>
      </c>
      <c r="B2516" s="2" t="s">
        <v>6032</v>
      </c>
      <c r="C2516" s="2" t="s">
        <v>68</v>
      </c>
      <c r="D2516" s="2" t="s">
        <v>69</v>
      </c>
      <c r="E2516" s="5">
        <v>-29775</v>
      </c>
      <c r="F2516" s="3" t="s">
        <v>1245</v>
      </c>
      <c r="G2516" s="3" t="s">
        <v>2558</v>
      </c>
      <c r="H2516" s="2" t="s">
        <v>36</v>
      </c>
      <c r="I2516" s="2" t="s">
        <v>6033</v>
      </c>
      <c r="J2516" s="3" t="str">
        <f>HYPERLINK("https://www.boe.es/gazeta/dias/1818/06/23/pdfs/GMD-1818-75.pdf#page=8","Abrir facsímil")</f>
        <v>Abrir facsímil</v>
      </c>
      <c r="K2516" s="3" t="s">
        <v>38</v>
      </c>
    </row>
    <row r="2517" spans="1:11" ht="42" customHeight="1">
      <c r="A2517" s="2" t="s">
        <v>6034</v>
      </c>
      <c r="B2517" s="2" t="s">
        <v>6034</v>
      </c>
      <c r="C2517" s="2" t="s">
        <v>97</v>
      </c>
      <c r="D2517" s="2" t="s">
        <v>18</v>
      </c>
      <c r="E2517" s="5">
        <v>-29922</v>
      </c>
      <c r="F2517" s="3" t="s">
        <v>174</v>
      </c>
      <c r="G2517" s="3" t="s">
        <v>120</v>
      </c>
      <c r="H2517" s="2" t="s">
        <v>36</v>
      </c>
      <c r="I2517" s="2" t="s">
        <v>6035</v>
      </c>
      <c r="J2517" s="3" t="str">
        <f>HYPERLINK("https://www.boe.es/gazeta/dias/1818/01/27/pdfs/GMD-1818-12.pdf#page=2","Abrir facsímil")</f>
        <v>Abrir facsímil</v>
      </c>
      <c r="K2517" s="3" t="s">
        <v>38</v>
      </c>
    </row>
    <row r="2518" spans="1:11" ht="42" customHeight="1">
      <c r="A2518" s="2" t="s">
        <v>6036</v>
      </c>
      <c r="B2518" s="2" t="s">
        <v>6037</v>
      </c>
      <c r="C2518" s="2" t="s">
        <v>26</v>
      </c>
      <c r="D2518" s="2" t="s">
        <v>27</v>
      </c>
      <c r="E2518" s="5">
        <v>-29803</v>
      </c>
      <c r="F2518" s="3" t="s">
        <v>1393</v>
      </c>
      <c r="G2518" s="3" t="s">
        <v>6038</v>
      </c>
      <c r="H2518" s="2" t="s">
        <v>36</v>
      </c>
      <c r="I2518" s="2" t="s">
        <v>6039</v>
      </c>
      <c r="J2518" s="3" t="str">
        <f>HYPERLINK("https://www.boe.es/gazeta/dias/1818/05/26/pdfs/GMD-1818-63.pdf#page=4","Abrir facsímil")</f>
        <v>Abrir facsímil</v>
      </c>
      <c r="K2518" s="3" t="s">
        <v>38</v>
      </c>
    </row>
    <row r="2519" spans="1:11" ht="42" customHeight="1">
      <c r="A2519" s="2" t="s">
        <v>6040</v>
      </c>
      <c r="B2519" s="2" t="s">
        <v>6041</v>
      </c>
      <c r="C2519" s="2" t="s">
        <v>26</v>
      </c>
      <c r="D2519" s="2" t="s">
        <v>27</v>
      </c>
      <c r="E2519" s="5">
        <v>-29808</v>
      </c>
      <c r="F2519" s="3" t="s">
        <v>80</v>
      </c>
      <c r="G2519" s="3" t="s">
        <v>29</v>
      </c>
      <c r="H2519" s="2" t="s">
        <v>36</v>
      </c>
      <c r="I2519" s="2" t="s">
        <v>6042</v>
      </c>
      <c r="J2519" s="3" t="str">
        <f>HYPERLINK("https://www.boe.es/gazeta/dias/1818/05/21/pdfs/GMD-1818-61.pdf#page=4","Abrir facsímil")</f>
        <v>Abrir facsímil</v>
      </c>
      <c r="K2519" s="3" t="s">
        <v>38</v>
      </c>
    </row>
    <row r="2520" spans="1:11" ht="42" customHeight="1">
      <c r="A2520" s="2" t="s">
        <v>6043</v>
      </c>
      <c r="B2520" s="2" t="s">
        <v>6043</v>
      </c>
      <c r="C2520" s="2" t="s">
        <v>26</v>
      </c>
      <c r="D2520" s="2" t="s">
        <v>27</v>
      </c>
      <c r="E2520" s="5">
        <v>-29775</v>
      </c>
      <c r="F2520" s="3" t="s">
        <v>1245</v>
      </c>
      <c r="G2520" s="3" t="s">
        <v>2994</v>
      </c>
      <c r="H2520" s="2" t="s">
        <v>36</v>
      </c>
      <c r="I2520" s="2" t="s">
        <v>6044</v>
      </c>
      <c r="J2520" s="3" t="str">
        <f>HYPERLINK("https://www.boe.es/gazeta/dias/1818/06/23/pdfs/GMD-1818-75.pdf#page=1","Abrir facsímil")</f>
        <v>Abrir facsímil</v>
      </c>
      <c r="K2520" s="3" t="s">
        <v>38</v>
      </c>
    </row>
    <row r="2521" spans="1:11" ht="42" customHeight="1">
      <c r="A2521" s="2" t="s">
        <v>6045</v>
      </c>
      <c r="B2521" s="2" t="s">
        <v>6046</v>
      </c>
      <c r="C2521" s="2" t="s">
        <v>17</v>
      </c>
      <c r="D2521" s="2" t="s">
        <v>18</v>
      </c>
      <c r="E2521" s="5">
        <v>-29927</v>
      </c>
      <c r="F2521" s="3" t="s">
        <v>1381</v>
      </c>
      <c r="G2521" s="3" t="s">
        <v>45</v>
      </c>
      <c r="H2521" s="2" t="s">
        <v>36</v>
      </c>
      <c r="I2521" s="2" t="s">
        <v>6047</v>
      </c>
      <c r="J2521" s="3" t="str">
        <f>HYPERLINK("https://www.boe.es/gazeta/dias/1818/01/22/pdfs/GMD-1818-10.pdf#page=8","Abrir facsímil")</f>
        <v>Abrir facsímil</v>
      </c>
      <c r="K2521" s="3" t="s">
        <v>38</v>
      </c>
    </row>
    <row r="2522" spans="1:11" ht="42" customHeight="1">
      <c r="A2522" s="2" t="s">
        <v>6048</v>
      </c>
      <c r="B2522" s="2" t="s">
        <v>6048</v>
      </c>
      <c r="C2522" s="2" t="s">
        <v>57</v>
      </c>
      <c r="D2522" s="2" t="s">
        <v>18</v>
      </c>
      <c r="E2522" s="5">
        <v>-29869</v>
      </c>
      <c r="F2522" s="3" t="s">
        <v>140</v>
      </c>
      <c r="G2522" s="3" t="s">
        <v>120</v>
      </c>
      <c r="H2522" s="2" t="s">
        <v>36</v>
      </c>
      <c r="I2522" s="2" t="s">
        <v>6049</v>
      </c>
      <c r="J2522" s="3" t="str">
        <f>HYPERLINK("https://www.boe.es/gazeta/dias/1818/03/21/pdfs/GMD-1818-35.pdf#page=2","Abrir facsímil")</f>
        <v>Abrir facsímil</v>
      </c>
      <c r="K2522" s="3" t="s">
        <v>38</v>
      </c>
    </row>
    <row r="2523" spans="1:11" ht="42" customHeight="1">
      <c r="A2523" s="2" t="s">
        <v>6050</v>
      </c>
      <c r="B2523" s="2" t="s">
        <v>6051</v>
      </c>
      <c r="C2523" s="2" t="s">
        <v>68</v>
      </c>
      <c r="D2523" s="2" t="s">
        <v>69</v>
      </c>
      <c r="E2523" s="5">
        <v>-29820</v>
      </c>
      <c r="F2523" s="3" t="s">
        <v>2971</v>
      </c>
      <c r="G2523" s="3" t="s">
        <v>2972</v>
      </c>
      <c r="H2523" s="2" t="s">
        <v>36</v>
      </c>
      <c r="I2523" s="2" t="s">
        <v>6052</v>
      </c>
      <c r="J2523" s="3" t="str">
        <f>HYPERLINK("https://www.boe.es/gazeta/dias/1818/05/09/pdfs/GMD-1818-56.pdf#page=8","Abrir facsímil")</f>
        <v>Abrir facsímil</v>
      </c>
      <c r="K2523" s="3" t="s">
        <v>38</v>
      </c>
    </row>
    <row r="2524" spans="1:11" ht="42" customHeight="1">
      <c r="A2524" s="2" t="s">
        <v>6053</v>
      </c>
      <c r="B2524" s="2" t="s">
        <v>6053</v>
      </c>
      <c r="C2524" s="2" t="s">
        <v>26</v>
      </c>
      <c r="D2524" s="2" t="s">
        <v>27</v>
      </c>
      <c r="E2524" s="5">
        <v>-29887</v>
      </c>
      <c r="F2524" s="3" t="s">
        <v>613</v>
      </c>
      <c r="G2524" s="3" t="s">
        <v>59</v>
      </c>
      <c r="H2524" s="2" t="s">
        <v>36</v>
      </c>
      <c r="I2524" s="2" t="s">
        <v>6054</v>
      </c>
      <c r="J2524" s="3" t="str">
        <f>HYPERLINK("https://www.boe.es/gazeta/dias/1818/03/03/pdfs/GMD-1818-27.pdf#page=6","Abrir facsímil")</f>
        <v>Abrir facsímil</v>
      </c>
      <c r="K2524" s="3" t="s">
        <v>38</v>
      </c>
    </row>
    <row r="2525" spans="1:11" ht="42" customHeight="1">
      <c r="A2525" s="2" t="s">
        <v>6053</v>
      </c>
      <c r="B2525" s="2" t="s">
        <v>6053</v>
      </c>
      <c r="C2525" s="2" t="s">
        <v>26</v>
      </c>
      <c r="D2525" s="2" t="s">
        <v>27</v>
      </c>
      <c r="E2525" s="5">
        <v>-29764</v>
      </c>
      <c r="F2525" s="3" t="s">
        <v>464</v>
      </c>
      <c r="G2525" s="3" t="s">
        <v>106</v>
      </c>
      <c r="H2525" s="2" t="s">
        <v>36</v>
      </c>
      <c r="I2525" s="2" t="s">
        <v>6055</v>
      </c>
      <c r="J2525" s="3" t="str">
        <f>HYPERLINK("https://www.boe.es/gazeta/dias/1818/07/04/pdfs/GMD-1818-80.pdf#page=5","Abrir facsímil")</f>
        <v>Abrir facsímil</v>
      </c>
      <c r="K2525" s="3" t="s">
        <v>38</v>
      </c>
    </row>
    <row r="2526" spans="1:11" ht="42" customHeight="1">
      <c r="A2526" s="2" t="s">
        <v>6056</v>
      </c>
      <c r="B2526" s="2" t="s">
        <v>6056</v>
      </c>
      <c r="C2526" s="2" t="s">
        <v>26</v>
      </c>
      <c r="D2526" s="2" t="s">
        <v>27</v>
      </c>
      <c r="E2526" s="5">
        <v>-29666</v>
      </c>
      <c r="F2526" s="3" t="s">
        <v>258</v>
      </c>
      <c r="G2526" s="3" t="s">
        <v>59</v>
      </c>
      <c r="H2526" s="2" t="s">
        <v>36</v>
      </c>
      <c r="I2526" s="2" t="s">
        <v>6057</v>
      </c>
      <c r="J2526" s="3" t="str">
        <f>HYPERLINK("https://www.boe.es/gazeta/dias/1818/10/10/pdfs/GMD-1818-122.pdf#page=6","Abrir facsímil")</f>
        <v>Abrir facsímil</v>
      </c>
      <c r="K2526" s="3" t="s">
        <v>38</v>
      </c>
    </row>
    <row r="2527" spans="1:11" ht="42" customHeight="1">
      <c r="A2527" s="2" t="s">
        <v>6058</v>
      </c>
      <c r="B2527" s="2" t="s">
        <v>6059</v>
      </c>
      <c r="C2527" s="2" t="s">
        <v>17</v>
      </c>
      <c r="D2527" s="2" t="s">
        <v>18</v>
      </c>
      <c r="E2527" s="5">
        <v>-29932</v>
      </c>
      <c r="F2527" s="3" t="s">
        <v>34</v>
      </c>
      <c r="G2527" s="3" t="s">
        <v>106</v>
      </c>
      <c r="H2527" s="2" t="s">
        <v>36</v>
      </c>
      <c r="I2527" s="2" t="s">
        <v>6060</v>
      </c>
      <c r="J2527" s="3" t="str">
        <f>HYPERLINK("https://www.boe.es/gazeta/dias/1818/01/17/pdfs/GMD-1818-8.pdf#page=5","Abrir facsímil")</f>
        <v>Abrir facsímil</v>
      </c>
      <c r="K2527" s="3" t="s">
        <v>38</v>
      </c>
    </row>
    <row r="2528" spans="1:11" ht="42" customHeight="1">
      <c r="A2528" s="2" t="s">
        <v>6061</v>
      </c>
      <c r="B2528" s="2" t="s">
        <v>6062</v>
      </c>
      <c r="C2528" s="2" t="s">
        <v>26</v>
      </c>
      <c r="D2528" s="2" t="s">
        <v>27</v>
      </c>
      <c r="E2528" s="5">
        <v>-29670</v>
      </c>
      <c r="F2528" s="3" t="s">
        <v>48</v>
      </c>
      <c r="G2528" s="3" t="s">
        <v>106</v>
      </c>
      <c r="H2528" s="2" t="s">
        <v>36</v>
      </c>
      <c r="I2528" s="2" t="s">
        <v>6063</v>
      </c>
      <c r="J2528" s="3" t="str">
        <f>HYPERLINK("https://www.boe.es/gazeta/dias/1818/10/06/pdfs/GMD-1818-120.pdf#page=5","Abrir facsímil")</f>
        <v>Abrir facsímil</v>
      </c>
      <c r="K2528" s="3" t="s">
        <v>38</v>
      </c>
    </row>
    <row r="2529" spans="1:11" ht="42" customHeight="1">
      <c r="A2529" s="2" t="s">
        <v>6064</v>
      </c>
      <c r="B2529" s="2" t="s">
        <v>6065</v>
      </c>
      <c r="C2529" s="2" t="s">
        <v>17</v>
      </c>
      <c r="D2529" s="2" t="s">
        <v>18</v>
      </c>
      <c r="E2529" s="5">
        <v>-29717</v>
      </c>
      <c r="F2529" s="3" t="s">
        <v>1644</v>
      </c>
      <c r="G2529" s="3" t="s">
        <v>29</v>
      </c>
      <c r="H2529" s="2" t="s">
        <v>36</v>
      </c>
      <c r="I2529" s="2" t="s">
        <v>6066</v>
      </c>
      <c r="J2529" s="3" t="str">
        <f>HYPERLINK("https://www.boe.es/gazeta/dias/1818/08/20/pdfs/GMD-1818-100.pdf#page=4","Abrir facsímil")</f>
        <v>Abrir facsímil</v>
      </c>
      <c r="K2529" s="3" t="s">
        <v>38</v>
      </c>
    </row>
    <row r="2530" spans="1:11" ht="42" customHeight="1">
      <c r="A2530" s="2" t="s">
        <v>6067</v>
      </c>
      <c r="B2530" s="2" t="s">
        <v>6068</v>
      </c>
      <c r="C2530" s="2" t="s">
        <v>26</v>
      </c>
      <c r="D2530" s="2" t="s">
        <v>27</v>
      </c>
      <c r="E2530" s="5">
        <v>-29743</v>
      </c>
      <c r="F2530" s="3" t="s">
        <v>734</v>
      </c>
      <c r="G2530" s="3" t="s">
        <v>29</v>
      </c>
      <c r="H2530" s="2" t="s">
        <v>36</v>
      </c>
      <c r="I2530" s="2" t="s">
        <v>6069</v>
      </c>
      <c r="J2530" s="3" t="str">
        <f>HYPERLINK("https://www.boe.es/gazeta/dias/1818/07/25/pdfs/GMD-1818-89.pdf#page=4","Abrir facsímil")</f>
        <v>Abrir facsímil</v>
      </c>
      <c r="K2530" s="3" t="s">
        <v>38</v>
      </c>
    </row>
    <row r="2531" spans="1:11" ht="42" customHeight="1">
      <c r="A2531" s="2" t="s">
        <v>6070</v>
      </c>
      <c r="B2531" s="2" t="s">
        <v>6071</v>
      </c>
      <c r="C2531" s="2" t="s">
        <v>26</v>
      </c>
      <c r="D2531" s="2" t="s">
        <v>27</v>
      </c>
      <c r="E2531" s="5">
        <v>-29740</v>
      </c>
      <c r="F2531" s="3" t="s">
        <v>152</v>
      </c>
      <c r="G2531" s="3" t="s">
        <v>153</v>
      </c>
      <c r="H2531" s="2" t="s">
        <v>36</v>
      </c>
      <c r="I2531" s="2" t="s">
        <v>6072</v>
      </c>
      <c r="J2531" s="3" t="str">
        <f>HYPERLINK("https://www.boe.es/gazeta/dias/1818/07/28/pdfs/GMD-1818-90.pdf#page=6","Abrir facsímil")</f>
        <v>Abrir facsímil</v>
      </c>
      <c r="K2531" s="3" t="s">
        <v>38</v>
      </c>
    </row>
    <row r="2532" spans="1:11" ht="42" customHeight="1">
      <c r="A2532" s="2" t="s">
        <v>6073</v>
      </c>
      <c r="B2532" s="2" t="s">
        <v>6074</v>
      </c>
      <c r="C2532" s="2" t="s">
        <v>26</v>
      </c>
      <c r="D2532" s="2" t="s">
        <v>27</v>
      </c>
      <c r="E2532" s="5">
        <v>-29626</v>
      </c>
      <c r="F2532" s="3" t="s">
        <v>496</v>
      </c>
      <c r="G2532" s="3" t="s">
        <v>59</v>
      </c>
      <c r="H2532" s="2" t="s">
        <v>36</v>
      </c>
      <c r="I2532" s="2" t="s">
        <v>6075</v>
      </c>
      <c r="J2532" s="3" t="str">
        <f>HYPERLINK("https://www.boe.es/gazeta/dias/1818/11/19/pdfs/GMD-1818-140.pdf#page=6","Abrir facsímil")</f>
        <v>Abrir facsímil</v>
      </c>
      <c r="K2532" s="3" t="s">
        <v>38</v>
      </c>
    </row>
    <row r="2533" spans="1:11" ht="42" customHeight="1">
      <c r="A2533" s="2" t="s">
        <v>6076</v>
      </c>
      <c r="B2533" s="2" t="s">
        <v>6077</v>
      </c>
      <c r="C2533" s="2" t="s">
        <v>17</v>
      </c>
      <c r="D2533" s="2" t="s">
        <v>18</v>
      </c>
      <c r="E2533" s="5">
        <v>-29631</v>
      </c>
      <c r="F2533" s="3" t="s">
        <v>743</v>
      </c>
      <c r="G2533" s="3" t="s">
        <v>106</v>
      </c>
      <c r="H2533" s="2" t="s">
        <v>36</v>
      </c>
      <c r="I2533" s="2" t="s">
        <v>6078</v>
      </c>
      <c r="J2533" s="3" t="str">
        <f>HYPERLINK("https://www.boe.es/gazeta/dias/1818/11/14/pdfs/GMD-1818-138.pdf#page=5","Abrir facsímil")</f>
        <v>Abrir facsímil</v>
      </c>
      <c r="K2533" s="3" t="s">
        <v>38</v>
      </c>
    </row>
    <row r="2534" spans="1:11" ht="42" customHeight="1">
      <c r="A2534" s="2" t="s">
        <v>6079</v>
      </c>
      <c r="B2534" s="2" t="s">
        <v>6080</v>
      </c>
      <c r="C2534" s="2" t="s">
        <v>26</v>
      </c>
      <c r="D2534" s="2" t="s">
        <v>27</v>
      </c>
      <c r="E2534" s="5">
        <v>-29754</v>
      </c>
      <c r="F2534" s="3" t="s">
        <v>466</v>
      </c>
      <c r="G2534" s="3" t="s">
        <v>106</v>
      </c>
      <c r="H2534" s="2" t="s">
        <v>36</v>
      </c>
      <c r="I2534" s="2" t="s">
        <v>6081</v>
      </c>
      <c r="J2534" s="3" t="str">
        <f>HYPERLINK("https://www.boe.es/gazeta/dias/1818/07/14/pdfs/GMD-1818-84.pdf#page=5","Abrir facsímil")</f>
        <v>Abrir facsímil</v>
      </c>
      <c r="K2534" s="3" t="s">
        <v>38</v>
      </c>
    </row>
    <row r="2535" spans="1:11" ht="42" customHeight="1">
      <c r="A2535" s="2" t="s">
        <v>6082</v>
      </c>
      <c r="B2535" s="2" t="s">
        <v>6083</v>
      </c>
      <c r="C2535" s="2" t="s">
        <v>26</v>
      </c>
      <c r="D2535" s="2" t="s">
        <v>27</v>
      </c>
      <c r="E2535" s="5">
        <v>-29754</v>
      </c>
      <c r="F2535" s="3" t="s">
        <v>466</v>
      </c>
      <c r="G2535" s="3" t="s">
        <v>29</v>
      </c>
      <c r="H2535" s="2" t="s">
        <v>36</v>
      </c>
      <c r="I2535" s="2" t="s">
        <v>6084</v>
      </c>
      <c r="J2535" s="3" t="str">
        <f>HYPERLINK("https://www.boe.es/gazeta/dias/1818/07/14/pdfs/GMD-1818-84.pdf#page=4","Abrir facsímil")</f>
        <v>Abrir facsímil</v>
      </c>
      <c r="K2535" s="3" t="s">
        <v>38</v>
      </c>
    </row>
    <row r="2536" spans="1:11" ht="42" customHeight="1">
      <c r="A2536" s="2" t="s">
        <v>6082</v>
      </c>
      <c r="B2536" s="2" t="s">
        <v>6083</v>
      </c>
      <c r="C2536" s="2" t="s">
        <v>26</v>
      </c>
      <c r="D2536" s="2" t="s">
        <v>27</v>
      </c>
      <c r="E2536" s="5">
        <v>-29680</v>
      </c>
      <c r="F2536" s="3" t="s">
        <v>865</v>
      </c>
      <c r="G2536" s="3" t="s">
        <v>106</v>
      </c>
      <c r="H2536" s="2" t="s">
        <v>36</v>
      </c>
      <c r="I2536" s="2" t="s">
        <v>6085</v>
      </c>
      <c r="J2536" s="3" t="str">
        <f>HYPERLINK("https://www.boe.es/gazeta/dias/1818/09/26/pdfs/GMD-1818-116.pdf#page=5","Abrir facsímil")</f>
        <v>Abrir facsímil</v>
      </c>
      <c r="K2536" s="3" t="s">
        <v>38</v>
      </c>
    </row>
    <row r="2537" spans="1:11" ht="42" customHeight="1">
      <c r="A2537" s="2" t="s">
        <v>6082</v>
      </c>
      <c r="B2537" s="2" t="s">
        <v>6083</v>
      </c>
      <c r="C2537" s="2" t="s">
        <v>26</v>
      </c>
      <c r="D2537" s="2" t="s">
        <v>27</v>
      </c>
      <c r="E2537" s="5">
        <v>-29624</v>
      </c>
      <c r="F2537" s="3" t="s">
        <v>131</v>
      </c>
      <c r="G2537" s="3" t="s">
        <v>29</v>
      </c>
      <c r="H2537" s="2" t="s">
        <v>36</v>
      </c>
      <c r="I2537" s="2" t="s">
        <v>6086</v>
      </c>
      <c r="J2537" s="3" t="str">
        <f>HYPERLINK("https://www.boe.es/gazeta/dias/1818/11/21/pdfs/GMD-1818-141.pdf#page=4","Abrir facsímil")</f>
        <v>Abrir facsímil</v>
      </c>
      <c r="K2537" s="3" t="s">
        <v>38</v>
      </c>
    </row>
    <row r="2538" spans="1:11" ht="42" customHeight="1">
      <c r="A2538" s="2" t="s">
        <v>6082</v>
      </c>
      <c r="B2538" s="2" t="s">
        <v>6083</v>
      </c>
      <c r="C2538" s="2" t="s">
        <v>26</v>
      </c>
      <c r="D2538" s="2" t="s">
        <v>27</v>
      </c>
      <c r="E2538" s="5">
        <v>-29619</v>
      </c>
      <c r="F2538" s="3" t="s">
        <v>64</v>
      </c>
      <c r="G2538" s="3" t="s">
        <v>59</v>
      </c>
      <c r="H2538" s="2" t="s">
        <v>36</v>
      </c>
      <c r="I2538" s="2" t="s">
        <v>6087</v>
      </c>
      <c r="J2538" s="3" t="str">
        <f>HYPERLINK("https://www.boe.es/gazeta/dias/1818/11/26/pdfs/GMD-1818-143.pdf#page=6","Abrir facsímil")</f>
        <v>Abrir facsímil</v>
      </c>
      <c r="K2538" s="3" t="s">
        <v>38</v>
      </c>
    </row>
    <row r="2539" spans="1:11" ht="42" customHeight="1">
      <c r="A2539" s="2" t="s">
        <v>6088</v>
      </c>
      <c r="B2539" s="2" t="s">
        <v>6089</v>
      </c>
      <c r="C2539" s="2" t="s">
        <v>57</v>
      </c>
      <c r="D2539" s="2" t="s">
        <v>18</v>
      </c>
      <c r="E2539" s="5">
        <v>-29913</v>
      </c>
      <c r="F2539" s="3" t="s">
        <v>449</v>
      </c>
      <c r="G2539" s="3" t="s">
        <v>45</v>
      </c>
      <c r="H2539" s="2" t="s">
        <v>36</v>
      </c>
      <c r="I2539" s="2" t="s">
        <v>6090</v>
      </c>
      <c r="J2539" s="3" t="str">
        <f>HYPERLINK("https://www.boe.es/gazeta/dias/1818/02/05/pdfs/GMD-1818-16.pdf#page=8","Abrir facsímil")</f>
        <v>Abrir facsímil</v>
      </c>
      <c r="K2539" s="3" t="s">
        <v>38</v>
      </c>
    </row>
    <row r="2540" spans="1:11" ht="42" customHeight="1">
      <c r="A2540" s="2" t="s">
        <v>6091</v>
      </c>
      <c r="B2540" s="2" t="s">
        <v>6092</v>
      </c>
      <c r="C2540" s="2" t="s">
        <v>26</v>
      </c>
      <c r="D2540" s="2" t="s">
        <v>27</v>
      </c>
      <c r="E2540" s="5">
        <v>-29771</v>
      </c>
      <c r="F2540" s="3" t="s">
        <v>1260</v>
      </c>
      <c r="G2540" s="3" t="s">
        <v>45</v>
      </c>
      <c r="H2540" s="2" t="s">
        <v>21</v>
      </c>
      <c r="I2540" s="2" t="s">
        <v>6093</v>
      </c>
      <c r="J2540" s="3" t="str">
        <f>HYPERLINK("https://www.boe.es/gazeta/dias/1818/06/27/pdfs/GMD-1818-77.pdf#page=8","Abrir facsímil")</f>
        <v>Abrir facsímil</v>
      </c>
      <c r="K2540" s="3" t="s">
        <v>23</v>
      </c>
    </row>
    <row r="2541" spans="1:11" ht="42" customHeight="1">
      <c r="A2541" s="2" t="s">
        <v>6094</v>
      </c>
      <c r="B2541" s="2" t="s">
        <v>6095</v>
      </c>
      <c r="C2541" s="2" t="s">
        <v>68</v>
      </c>
      <c r="D2541" s="2" t="s">
        <v>69</v>
      </c>
      <c r="E2541" s="5">
        <v>-29761</v>
      </c>
      <c r="F2541" s="3" t="s">
        <v>168</v>
      </c>
      <c r="G2541" s="3" t="s">
        <v>1238</v>
      </c>
      <c r="H2541" s="2" t="s">
        <v>21</v>
      </c>
      <c r="I2541" s="2" t="s">
        <v>6096</v>
      </c>
      <c r="J2541" s="3" t="str">
        <f>HYPERLINK("https://www.boe.es/gazeta/dias/1818/07/07/pdfs/GMD-1818-81.pdf#page=8","Abrir facsímil")</f>
        <v>Abrir facsímil</v>
      </c>
      <c r="K2541" s="3" t="s">
        <v>23</v>
      </c>
    </row>
    <row r="2542" spans="1:11" ht="42" customHeight="1">
      <c r="A2542" s="2" t="s">
        <v>6097</v>
      </c>
      <c r="B2542" s="2" t="s">
        <v>6098</v>
      </c>
      <c r="C2542" s="2" t="s">
        <v>57</v>
      </c>
      <c r="D2542" s="2" t="s">
        <v>18</v>
      </c>
      <c r="E2542" s="5">
        <v>-29785</v>
      </c>
      <c r="F2542" s="3" t="s">
        <v>1031</v>
      </c>
      <c r="G2542" s="3" t="s">
        <v>45</v>
      </c>
      <c r="H2542" s="2" t="s">
        <v>21</v>
      </c>
      <c r="I2542" s="2" t="s">
        <v>6099</v>
      </c>
      <c r="J2542" s="3" t="str">
        <f>HYPERLINK("https://www.boe.es/gazeta/dias/1818/06/13/pdfs/GMD-1818-71.pdf#page=8","Abrir facsímil")</f>
        <v>Abrir facsímil</v>
      </c>
      <c r="K2542" s="3" t="s">
        <v>23</v>
      </c>
    </row>
    <row r="2543" spans="1:11" ht="42" customHeight="1">
      <c r="A2543" s="2" t="s">
        <v>6100</v>
      </c>
      <c r="B2543" s="2" t="s">
        <v>6101</v>
      </c>
      <c r="C2543" s="2" t="s">
        <v>57</v>
      </c>
      <c r="D2543" s="2" t="s">
        <v>18</v>
      </c>
      <c r="E2543" s="5">
        <v>-29740</v>
      </c>
      <c r="F2543" s="3" t="s">
        <v>152</v>
      </c>
      <c r="G2543" s="3" t="s">
        <v>45</v>
      </c>
      <c r="H2543" s="2" t="s">
        <v>21</v>
      </c>
      <c r="I2543" s="2" t="s">
        <v>6102</v>
      </c>
      <c r="J2543" s="3" t="str">
        <f>HYPERLINK("https://www.boe.es/gazeta/dias/1818/07/28/pdfs/GMD-1818-90.pdf#page=8","Abrir facsímil")</f>
        <v>Abrir facsímil</v>
      </c>
      <c r="K2543" s="3" t="s">
        <v>23</v>
      </c>
    </row>
    <row r="2544" spans="1:11" ht="42" customHeight="1">
      <c r="A2544" s="2" t="s">
        <v>6103</v>
      </c>
      <c r="B2544" s="2" t="s">
        <v>6103</v>
      </c>
      <c r="C2544" s="2" t="s">
        <v>17</v>
      </c>
      <c r="D2544" s="2" t="s">
        <v>18</v>
      </c>
      <c r="E2544" s="5">
        <v>-29932</v>
      </c>
      <c r="F2544" s="3" t="s">
        <v>34</v>
      </c>
      <c r="G2544" s="3" t="s">
        <v>35</v>
      </c>
      <c r="H2544" s="2" t="s">
        <v>36</v>
      </c>
      <c r="I2544" s="2" t="s">
        <v>6104</v>
      </c>
      <c r="J2544" s="3" t="str">
        <f>HYPERLINK("https://www.boe.es/gazeta/dias/1818/01/17/pdfs/GMD-1818-8.pdf#page=8","Abrir facsímil")</f>
        <v>Abrir facsímil</v>
      </c>
      <c r="K2544" s="3" t="s">
        <v>38</v>
      </c>
    </row>
    <row r="2545" spans="1:11" ht="42" customHeight="1">
      <c r="A2545" s="2" t="s">
        <v>6103</v>
      </c>
      <c r="B2545" s="2" t="s">
        <v>6103</v>
      </c>
      <c r="C2545" s="2" t="s">
        <v>26</v>
      </c>
      <c r="D2545" s="2" t="s">
        <v>27</v>
      </c>
      <c r="E2545" s="5">
        <v>-29913</v>
      </c>
      <c r="F2545" s="3" t="s">
        <v>449</v>
      </c>
      <c r="G2545" s="3" t="s">
        <v>45</v>
      </c>
      <c r="H2545" s="2" t="s">
        <v>36</v>
      </c>
      <c r="I2545" s="2" t="s">
        <v>6105</v>
      </c>
      <c r="J2545" s="3" t="str">
        <f>HYPERLINK("https://www.boe.es/gazeta/dias/1818/02/05/pdfs/GMD-1818-16.pdf#page=8","Abrir facsímil")</f>
        <v>Abrir facsímil</v>
      </c>
      <c r="K2545" s="3" t="s">
        <v>38</v>
      </c>
    </row>
    <row r="2546" spans="1:11" ht="42" customHeight="1">
      <c r="A2546" s="2" t="s">
        <v>6103</v>
      </c>
      <c r="B2546" s="2" t="s">
        <v>6103</v>
      </c>
      <c r="C2546" s="2" t="s">
        <v>68</v>
      </c>
      <c r="D2546" s="2" t="s">
        <v>69</v>
      </c>
      <c r="E2546" s="5">
        <v>-29904</v>
      </c>
      <c r="F2546" s="3" t="s">
        <v>451</v>
      </c>
      <c r="G2546" s="3" t="s">
        <v>20</v>
      </c>
      <c r="H2546" s="2" t="s">
        <v>36</v>
      </c>
      <c r="I2546" s="2" t="s">
        <v>6106</v>
      </c>
      <c r="J2546" s="3" t="str">
        <f>HYPERLINK("https://www.boe.es/gazeta/dias/1818/02/14/pdfs/GMD-1818-20.pdf#page=7","Abrir facsímil")</f>
        <v>Abrir facsímil</v>
      </c>
      <c r="K2546" s="3" t="s">
        <v>38</v>
      </c>
    </row>
    <row r="2547" spans="1:11" ht="42" customHeight="1">
      <c r="A2547" s="2" t="s">
        <v>6103</v>
      </c>
      <c r="B2547" s="2" t="s">
        <v>6103</v>
      </c>
      <c r="C2547" s="2" t="s">
        <v>26</v>
      </c>
      <c r="D2547" s="2" t="s">
        <v>27</v>
      </c>
      <c r="E2547" s="5">
        <v>-29897</v>
      </c>
      <c r="F2547" s="3" t="s">
        <v>318</v>
      </c>
      <c r="G2547" s="3" t="s">
        <v>106</v>
      </c>
      <c r="H2547" s="2" t="s">
        <v>36</v>
      </c>
      <c r="I2547" s="2" t="s">
        <v>6107</v>
      </c>
      <c r="J2547" s="3" t="str">
        <f>HYPERLINK("https://www.boe.es/gazeta/dias/1818/02/21/pdfs/GMD-1818-23.pdf#page=5","Abrir facsímil")</f>
        <v>Abrir facsímil</v>
      </c>
      <c r="K2547" s="3" t="s">
        <v>38</v>
      </c>
    </row>
    <row r="2548" spans="1:11" ht="42" customHeight="1">
      <c r="A2548" s="2" t="s">
        <v>6103</v>
      </c>
      <c r="B2548" s="2" t="s">
        <v>6103</v>
      </c>
      <c r="C2548" s="2" t="s">
        <v>57</v>
      </c>
      <c r="D2548" s="2" t="s">
        <v>18</v>
      </c>
      <c r="E2548" s="5">
        <v>-29892</v>
      </c>
      <c r="F2548" s="3" t="s">
        <v>39</v>
      </c>
      <c r="G2548" s="3" t="s">
        <v>40</v>
      </c>
      <c r="H2548" s="2" t="s">
        <v>36</v>
      </c>
      <c r="I2548" s="2" t="s">
        <v>6108</v>
      </c>
      <c r="J2548" s="3" t="str">
        <f>HYPERLINK("https://www.boe.es/gazeta/dias/1818/02/26/pdfs/GMD-1818-25.pdf#page=8","Abrir facsímil")</f>
        <v>Abrir facsímil</v>
      </c>
      <c r="K2548" s="3" t="s">
        <v>38</v>
      </c>
    </row>
    <row r="2549" spans="1:11" ht="42" customHeight="1">
      <c r="A2549" s="2" t="s">
        <v>6103</v>
      </c>
      <c r="B2549" s="2" t="s">
        <v>6103</v>
      </c>
      <c r="C2549" s="2" t="s">
        <v>26</v>
      </c>
      <c r="D2549" s="2" t="s">
        <v>27</v>
      </c>
      <c r="E2549" s="5">
        <v>-29869</v>
      </c>
      <c r="F2549" s="3" t="s">
        <v>140</v>
      </c>
      <c r="G2549" s="3" t="s">
        <v>59</v>
      </c>
      <c r="H2549" s="2" t="s">
        <v>36</v>
      </c>
      <c r="I2549" s="2" t="s">
        <v>6109</v>
      </c>
      <c r="J2549" s="3" t="str">
        <f>HYPERLINK("https://www.boe.es/gazeta/dias/1818/03/21/pdfs/GMD-1818-35.pdf#page=6","Abrir facsímil")</f>
        <v>Abrir facsímil</v>
      </c>
      <c r="K2549" s="3" t="s">
        <v>38</v>
      </c>
    </row>
    <row r="2550" spans="1:11" ht="42" customHeight="1">
      <c r="A2550" s="2" t="s">
        <v>6103</v>
      </c>
      <c r="B2550" s="2" t="s">
        <v>6103</v>
      </c>
      <c r="C2550" s="2" t="s">
        <v>26</v>
      </c>
      <c r="D2550" s="2" t="s">
        <v>27</v>
      </c>
      <c r="E2550" s="5">
        <v>-29831</v>
      </c>
      <c r="F2550" s="3" t="s">
        <v>567</v>
      </c>
      <c r="G2550" s="3" t="s">
        <v>20</v>
      </c>
      <c r="H2550" s="2" t="s">
        <v>36</v>
      </c>
      <c r="I2550" s="2" t="s">
        <v>6110</v>
      </c>
      <c r="J2550" s="3" t="str">
        <f>HYPERLINK("https://www.boe.es/gazeta/dias/1818/04/28/pdfs/GMD-1818-51.pdf#page=7","Abrir facsímil")</f>
        <v>Abrir facsímil</v>
      </c>
      <c r="K2550" s="3" t="s">
        <v>38</v>
      </c>
    </row>
    <row r="2551" spans="1:11" ht="42" customHeight="1">
      <c r="A2551" s="2" t="s">
        <v>6103</v>
      </c>
      <c r="B2551" s="2" t="s">
        <v>6103</v>
      </c>
      <c r="C2551" s="2" t="s">
        <v>17</v>
      </c>
      <c r="D2551" s="2" t="s">
        <v>18</v>
      </c>
      <c r="E2551" s="5">
        <v>-29829</v>
      </c>
      <c r="F2551" s="3" t="s">
        <v>44</v>
      </c>
      <c r="G2551" s="3" t="s">
        <v>45</v>
      </c>
      <c r="H2551" s="2" t="s">
        <v>36</v>
      </c>
      <c r="I2551" s="2" t="s">
        <v>6111</v>
      </c>
      <c r="J2551" s="3" t="str">
        <f>HYPERLINK("https://www.boe.es/gazeta/dias/1818/04/30/pdfs/GMD-1818-52.pdf#page=8","Abrir facsímil")</f>
        <v>Abrir facsímil</v>
      </c>
      <c r="K2551" s="3" t="s">
        <v>38</v>
      </c>
    </row>
    <row r="2552" spans="1:11" ht="42" customHeight="1">
      <c r="A2552" s="2" t="s">
        <v>6103</v>
      </c>
      <c r="B2552" s="2" t="s">
        <v>6103</v>
      </c>
      <c r="C2552" s="2" t="s">
        <v>63</v>
      </c>
      <c r="D2552" s="2" t="s">
        <v>18</v>
      </c>
      <c r="E2552" s="5">
        <v>-29778</v>
      </c>
      <c r="F2552" s="3" t="s">
        <v>239</v>
      </c>
      <c r="G2552" s="3" t="s">
        <v>45</v>
      </c>
      <c r="H2552" s="2" t="s">
        <v>36</v>
      </c>
      <c r="I2552" s="2" t="s">
        <v>6112</v>
      </c>
      <c r="J2552" s="3" t="str">
        <f>HYPERLINK("https://www.boe.es/gazeta/dias/1818/06/20/pdfs/GMD-1818-74.pdf#page=8","Abrir facsímil")</f>
        <v>Abrir facsímil</v>
      </c>
      <c r="K2552" s="3" t="s">
        <v>38</v>
      </c>
    </row>
    <row r="2553" spans="1:11" ht="42" customHeight="1">
      <c r="A2553" s="2" t="s">
        <v>6103</v>
      </c>
      <c r="B2553" s="2" t="s">
        <v>6103</v>
      </c>
      <c r="C2553" s="2" t="s">
        <v>68</v>
      </c>
      <c r="D2553" s="2" t="s">
        <v>69</v>
      </c>
      <c r="E2553" s="5">
        <v>-29771</v>
      </c>
      <c r="F2553" s="3" t="s">
        <v>1260</v>
      </c>
      <c r="G2553" s="3" t="s">
        <v>4136</v>
      </c>
      <c r="H2553" s="2" t="s">
        <v>36</v>
      </c>
      <c r="I2553" s="2" t="s">
        <v>6113</v>
      </c>
      <c r="J2553" s="3" t="str">
        <f>HYPERLINK("https://www.boe.es/gazeta/dias/1818/06/27/pdfs/GMD-1818-77.pdf#page=4","Abrir facsímil")</f>
        <v>Abrir facsímil</v>
      </c>
      <c r="K2553" s="3" t="s">
        <v>38</v>
      </c>
    </row>
    <row r="2554" spans="1:11" ht="42" customHeight="1">
      <c r="A2554" s="2" t="s">
        <v>6114</v>
      </c>
      <c r="B2554" s="2" t="s">
        <v>6114</v>
      </c>
      <c r="C2554" s="2" t="s">
        <v>26</v>
      </c>
      <c r="D2554" s="2" t="s">
        <v>27</v>
      </c>
      <c r="E2554" s="5">
        <v>-29750</v>
      </c>
      <c r="F2554" s="3" t="s">
        <v>384</v>
      </c>
      <c r="G2554" s="3" t="s">
        <v>111</v>
      </c>
      <c r="H2554" s="2" t="s">
        <v>36</v>
      </c>
      <c r="I2554" s="2" t="s">
        <v>6115</v>
      </c>
      <c r="J2554" s="3" t="str">
        <f>HYPERLINK("https://www.boe.es/gazeta/dias/1818/07/18/pdfs/GMD-1818-86.pdf#page=11","Abrir facsímil")</f>
        <v>Abrir facsímil</v>
      </c>
      <c r="K2554" s="3" t="s">
        <v>38</v>
      </c>
    </row>
    <row r="2555" spans="1:11" ht="42" customHeight="1">
      <c r="A2555" s="2" t="s">
        <v>6103</v>
      </c>
      <c r="B2555" s="2" t="s">
        <v>6103</v>
      </c>
      <c r="C2555" s="2" t="s">
        <v>63</v>
      </c>
      <c r="D2555" s="2" t="s">
        <v>18</v>
      </c>
      <c r="E2555" s="5">
        <v>-29701</v>
      </c>
      <c r="F2555" s="3" t="s">
        <v>596</v>
      </c>
      <c r="G2555" s="3" t="s">
        <v>59</v>
      </c>
      <c r="H2555" s="2" t="s">
        <v>36</v>
      </c>
      <c r="I2555" s="2" t="s">
        <v>6116</v>
      </c>
      <c r="J2555" s="3" t="str">
        <f>HYPERLINK("https://www.boe.es/gazeta/dias/1818/09/05/pdfs/GMD-1818-107.pdf#page=6","Abrir facsímil")</f>
        <v>Abrir facsímil</v>
      </c>
      <c r="K2555" s="3" t="s">
        <v>38</v>
      </c>
    </row>
    <row r="2556" spans="1:11" ht="42" customHeight="1">
      <c r="A2556" s="2" t="s">
        <v>6103</v>
      </c>
      <c r="B2556" s="2" t="s">
        <v>6103</v>
      </c>
      <c r="C2556" s="2" t="s">
        <v>17</v>
      </c>
      <c r="D2556" s="2" t="s">
        <v>18</v>
      </c>
      <c r="E2556" s="5">
        <v>-29698</v>
      </c>
      <c r="F2556" s="3" t="s">
        <v>148</v>
      </c>
      <c r="G2556" s="3" t="s">
        <v>20</v>
      </c>
      <c r="H2556" s="2" t="s">
        <v>36</v>
      </c>
      <c r="I2556" s="2" t="s">
        <v>6117</v>
      </c>
      <c r="J2556" s="3" t="str">
        <f>HYPERLINK("https://www.boe.es/gazeta/dias/1818/09/08/pdfs/GMD-1818-108.pdf#page=7","Abrir facsímil")</f>
        <v>Abrir facsímil</v>
      </c>
      <c r="K2556" s="3" t="s">
        <v>38</v>
      </c>
    </row>
    <row r="2557" spans="1:11" ht="42" customHeight="1">
      <c r="A2557" s="2" t="s">
        <v>6103</v>
      </c>
      <c r="B2557" s="2" t="s">
        <v>6103</v>
      </c>
      <c r="C2557" s="2" t="s">
        <v>26</v>
      </c>
      <c r="D2557" s="2" t="s">
        <v>27</v>
      </c>
      <c r="E2557" s="5">
        <v>-29677</v>
      </c>
      <c r="F2557" s="3" t="s">
        <v>157</v>
      </c>
      <c r="G2557" s="3" t="s">
        <v>29</v>
      </c>
      <c r="H2557" s="2" t="s">
        <v>36</v>
      </c>
      <c r="I2557" s="2" t="s">
        <v>6118</v>
      </c>
      <c r="J2557" s="3" t="str">
        <f>HYPERLINK("https://www.boe.es/gazeta/dias/1818/09/29/pdfs/GMD-1818-117.pdf#page=4","Abrir facsímil")</f>
        <v>Abrir facsímil</v>
      </c>
      <c r="K2557" s="3" t="s">
        <v>38</v>
      </c>
    </row>
    <row r="2558" spans="1:11" ht="42" customHeight="1">
      <c r="A2558" s="2" t="s">
        <v>6103</v>
      </c>
      <c r="B2558" s="2" t="s">
        <v>6103</v>
      </c>
      <c r="C2558" s="2" t="s">
        <v>68</v>
      </c>
      <c r="D2558" s="2" t="s">
        <v>69</v>
      </c>
      <c r="E2558" s="5">
        <v>-29631</v>
      </c>
      <c r="F2558" s="3" t="s">
        <v>743</v>
      </c>
      <c r="G2558" s="3" t="s">
        <v>3691</v>
      </c>
      <c r="H2558" s="2" t="s">
        <v>36</v>
      </c>
      <c r="I2558" s="2" t="s">
        <v>6119</v>
      </c>
      <c r="J2558" s="3" t="str">
        <f>HYPERLINK("https://www.boe.es/gazeta/dias/1818/11/14/pdfs/GMD-1818-138.pdf#page=8","Abrir facsímil")</f>
        <v>Abrir facsímil</v>
      </c>
      <c r="K2558" s="3" t="s">
        <v>38</v>
      </c>
    </row>
    <row r="2559" spans="1:11" ht="42" customHeight="1">
      <c r="A2559" s="2" t="s">
        <v>6103</v>
      </c>
      <c r="B2559" s="2" t="s">
        <v>6103</v>
      </c>
      <c r="C2559" s="2" t="s">
        <v>63</v>
      </c>
      <c r="D2559" s="2" t="s">
        <v>18</v>
      </c>
      <c r="E2559" s="5">
        <v>-29589</v>
      </c>
      <c r="F2559" s="3" t="s">
        <v>210</v>
      </c>
      <c r="G2559" s="3" t="s">
        <v>106</v>
      </c>
      <c r="H2559" s="2" t="s">
        <v>36</v>
      </c>
      <c r="I2559" s="2" t="s">
        <v>6120</v>
      </c>
      <c r="J2559" s="3" t="str">
        <f>HYPERLINK("https://www.boe.es/gazeta/dias/1818/12/26/pdfs/GMD-1818-156.pdf#page=5","Abrir facsímil")</f>
        <v>Abrir facsímil</v>
      </c>
      <c r="K2559" s="3" t="s">
        <v>38</v>
      </c>
    </row>
    <row r="2560" spans="1:11" ht="42" customHeight="1">
      <c r="A2560" s="2" t="s">
        <v>6121</v>
      </c>
      <c r="B2560" s="2" t="s">
        <v>6122</v>
      </c>
      <c r="C2560" s="2" t="s">
        <v>26</v>
      </c>
      <c r="D2560" s="2" t="s">
        <v>27</v>
      </c>
      <c r="E2560" s="5">
        <v>-29815</v>
      </c>
      <c r="F2560" s="3" t="s">
        <v>2169</v>
      </c>
      <c r="G2560" s="3" t="s">
        <v>29</v>
      </c>
      <c r="H2560" s="2" t="s">
        <v>36</v>
      </c>
      <c r="I2560" s="2" t="s">
        <v>6123</v>
      </c>
      <c r="J2560" s="3" t="str">
        <f>HYPERLINK("https://www.boe.es/gazeta/dias/1818/05/14/pdfs/GMD-1818-58.pdf#page=4","Abrir facsímil")</f>
        <v>Abrir facsímil</v>
      </c>
      <c r="K2560" s="3" t="s">
        <v>38</v>
      </c>
    </row>
    <row r="2561" spans="1:11" ht="42" customHeight="1">
      <c r="A2561" s="2" t="s">
        <v>6124</v>
      </c>
      <c r="B2561" s="2" t="s">
        <v>6125</v>
      </c>
      <c r="C2561" s="2" t="s">
        <v>17</v>
      </c>
      <c r="D2561" s="2" t="s">
        <v>18</v>
      </c>
      <c r="E2561" s="5">
        <v>-29906</v>
      </c>
      <c r="F2561" s="3" t="s">
        <v>28</v>
      </c>
      <c r="G2561" s="3" t="s">
        <v>20</v>
      </c>
      <c r="H2561" s="2" t="s">
        <v>36</v>
      </c>
      <c r="I2561" s="2" t="s">
        <v>6126</v>
      </c>
      <c r="J2561" s="3" t="str">
        <f>HYPERLINK("https://www.boe.es/gazeta/dias/1818/02/12/pdfs/GMD-1818-19.pdf#page=7","Abrir facsímil")</f>
        <v>Abrir facsímil</v>
      </c>
      <c r="K2561" s="3" t="s">
        <v>38</v>
      </c>
    </row>
    <row r="2562" spans="1:11" ht="42" customHeight="1">
      <c r="A2562" s="2" t="s">
        <v>6127</v>
      </c>
      <c r="B2562" s="2" t="s">
        <v>6128</v>
      </c>
      <c r="C2562" s="2" t="s">
        <v>26</v>
      </c>
      <c r="D2562" s="2" t="s">
        <v>27</v>
      </c>
      <c r="E2562" s="5">
        <v>-29943</v>
      </c>
      <c r="F2562" s="3" t="s">
        <v>1837</v>
      </c>
      <c r="G2562" s="3" t="s">
        <v>20</v>
      </c>
      <c r="H2562" s="2" t="s">
        <v>36</v>
      </c>
      <c r="I2562" s="2" t="s">
        <v>6129</v>
      </c>
      <c r="J2562" s="3" t="str">
        <f>HYPERLINK("https://www.boe.es/gazeta/dias/1818/01/06/pdfs/GMD-1818-3.pdf#page=7","Abrir facsímil")</f>
        <v>Abrir facsímil</v>
      </c>
      <c r="K2562" s="3" t="s">
        <v>38</v>
      </c>
    </row>
    <row r="2563" spans="1:11" ht="42" customHeight="1">
      <c r="A2563" s="2" t="s">
        <v>6130</v>
      </c>
      <c r="B2563" s="2" t="s">
        <v>6131</v>
      </c>
      <c r="C2563" s="2" t="s">
        <v>26</v>
      </c>
      <c r="D2563" s="2" t="s">
        <v>27</v>
      </c>
      <c r="E2563" s="5">
        <v>-29920</v>
      </c>
      <c r="F2563" s="3" t="s">
        <v>201</v>
      </c>
      <c r="G2563" s="3" t="s">
        <v>106</v>
      </c>
      <c r="H2563" s="2" t="s">
        <v>36</v>
      </c>
      <c r="I2563" s="2" t="s">
        <v>6132</v>
      </c>
      <c r="J2563" s="3" t="str">
        <f>HYPERLINK("https://www.boe.es/gazeta/dias/1818/01/29/pdfs/GMD-1818-13.pdf#page=5","Abrir facsímil")</f>
        <v>Abrir facsímil</v>
      </c>
      <c r="K2563" s="3" t="s">
        <v>38</v>
      </c>
    </row>
    <row r="2564" spans="1:11" ht="42" customHeight="1">
      <c r="A2564" s="2" t="s">
        <v>6130</v>
      </c>
      <c r="B2564" s="2" t="s">
        <v>6131</v>
      </c>
      <c r="C2564" s="2" t="s">
        <v>26</v>
      </c>
      <c r="D2564" s="2" t="s">
        <v>27</v>
      </c>
      <c r="E2564" s="5">
        <v>-29680</v>
      </c>
      <c r="F2564" s="3" t="s">
        <v>865</v>
      </c>
      <c r="G2564" s="3" t="s">
        <v>29</v>
      </c>
      <c r="H2564" s="2" t="s">
        <v>36</v>
      </c>
      <c r="I2564" s="2" t="s">
        <v>6133</v>
      </c>
      <c r="J2564" s="3" t="str">
        <f>HYPERLINK("https://www.boe.es/gazeta/dias/1818/09/26/pdfs/GMD-1818-116.pdf#page=4","Abrir facsímil")</f>
        <v>Abrir facsímil</v>
      </c>
      <c r="K2564" s="3" t="s">
        <v>38</v>
      </c>
    </row>
    <row r="2565" spans="1:11" ht="42" customHeight="1">
      <c r="A2565" s="2" t="s">
        <v>6134</v>
      </c>
      <c r="B2565" s="2" t="s">
        <v>6135</v>
      </c>
      <c r="C2565" s="2" t="s">
        <v>57</v>
      </c>
      <c r="D2565" s="2" t="s">
        <v>18</v>
      </c>
      <c r="E2565" s="5">
        <v>-29908</v>
      </c>
      <c r="F2565" s="3" t="s">
        <v>695</v>
      </c>
      <c r="G2565" s="3" t="s">
        <v>85</v>
      </c>
      <c r="H2565" s="2" t="s">
        <v>36</v>
      </c>
      <c r="I2565" s="2" t="s">
        <v>6136</v>
      </c>
      <c r="J2565" s="3" t="str">
        <f>HYPERLINK("https://www.boe.es/gazeta/dias/1818/02/10/pdfs/GMD-1818-18.pdf#page=3","Abrir facsímil")</f>
        <v>Abrir facsímil</v>
      </c>
      <c r="K2565" s="3" t="s">
        <v>38</v>
      </c>
    </row>
    <row r="2566" spans="1:11" ht="42" customHeight="1">
      <c r="A2566" s="2" t="s">
        <v>6137</v>
      </c>
      <c r="B2566" s="2" t="s">
        <v>6138</v>
      </c>
      <c r="C2566" s="2" t="s">
        <v>17</v>
      </c>
      <c r="D2566" s="2" t="s">
        <v>18</v>
      </c>
      <c r="E2566" s="5">
        <v>-29829</v>
      </c>
      <c r="F2566" s="3" t="s">
        <v>44</v>
      </c>
      <c r="G2566" s="3" t="s">
        <v>20</v>
      </c>
      <c r="H2566" s="2" t="s">
        <v>36</v>
      </c>
      <c r="I2566" s="2" t="s">
        <v>6139</v>
      </c>
      <c r="J2566" s="3" t="str">
        <f>HYPERLINK("https://www.boe.es/gazeta/dias/1818/04/30/pdfs/GMD-1818-52.pdf#page=7","Abrir facsímil")</f>
        <v>Abrir facsímil</v>
      </c>
      <c r="K2566" s="3" t="s">
        <v>38</v>
      </c>
    </row>
    <row r="2567" spans="1:11" ht="42" customHeight="1">
      <c r="A2567" s="2" t="s">
        <v>6140</v>
      </c>
      <c r="B2567" s="2" t="s">
        <v>6141</v>
      </c>
      <c r="C2567" s="2" t="s">
        <v>26</v>
      </c>
      <c r="D2567" s="2" t="s">
        <v>27</v>
      </c>
      <c r="E2567" s="5">
        <v>-29869</v>
      </c>
      <c r="F2567" s="3" t="s">
        <v>140</v>
      </c>
      <c r="G2567" s="3" t="s">
        <v>106</v>
      </c>
      <c r="H2567" s="2" t="s">
        <v>36</v>
      </c>
      <c r="I2567" s="2" t="s">
        <v>6142</v>
      </c>
      <c r="J2567" s="3" t="str">
        <f>HYPERLINK("https://www.boe.es/gazeta/dias/1818/03/21/pdfs/GMD-1818-35.pdf#page=5","Abrir facsímil")</f>
        <v>Abrir facsímil</v>
      </c>
      <c r="K2567" s="3" t="s">
        <v>38</v>
      </c>
    </row>
    <row r="2568" spans="1:11" ht="42" customHeight="1">
      <c r="A2568" s="2" t="s">
        <v>6143</v>
      </c>
      <c r="B2568" s="2" t="s">
        <v>6143</v>
      </c>
      <c r="C2568" s="2" t="s">
        <v>26</v>
      </c>
      <c r="D2568" s="2" t="s">
        <v>27</v>
      </c>
      <c r="E2568" s="5">
        <v>-29932</v>
      </c>
      <c r="F2568" s="3" t="s">
        <v>34</v>
      </c>
      <c r="G2568" s="3" t="s">
        <v>85</v>
      </c>
      <c r="H2568" s="2" t="s">
        <v>36</v>
      </c>
      <c r="I2568" s="2" t="s">
        <v>6144</v>
      </c>
      <c r="J2568" s="3" t="str">
        <f>HYPERLINK("https://www.boe.es/gazeta/dias/1818/01/17/pdfs/GMD-1818-8.pdf#page=3","Abrir facsímil")</f>
        <v>Abrir facsímil</v>
      </c>
      <c r="K2568" s="3" t="s">
        <v>38</v>
      </c>
    </row>
    <row r="2569" spans="1:11" ht="42" customHeight="1">
      <c r="A2569" s="2" t="s">
        <v>6145</v>
      </c>
      <c r="B2569" s="2" t="s">
        <v>6146</v>
      </c>
      <c r="C2569" s="2" t="s">
        <v>68</v>
      </c>
      <c r="D2569" s="2" t="s">
        <v>69</v>
      </c>
      <c r="E2569" s="5">
        <v>-29936</v>
      </c>
      <c r="F2569" s="3" t="s">
        <v>398</v>
      </c>
      <c r="G2569" s="3" t="s">
        <v>20</v>
      </c>
      <c r="H2569" s="2" t="s">
        <v>36</v>
      </c>
      <c r="I2569" s="2" t="s">
        <v>6147</v>
      </c>
      <c r="J2569" s="3" t="str">
        <f>HYPERLINK("https://www.boe.es/gazeta/dias/1818/01/13/pdfs/GMD-1818-6.pdf#page=7","Abrir facsímil")</f>
        <v>Abrir facsímil</v>
      </c>
      <c r="K2569" s="3" t="s">
        <v>38</v>
      </c>
    </row>
    <row r="2570" spans="1:11" ht="42" customHeight="1">
      <c r="A2570" s="2" t="s">
        <v>6148</v>
      </c>
      <c r="B2570" s="2" t="s">
        <v>6149</v>
      </c>
      <c r="C2570" s="2" t="s">
        <v>17</v>
      </c>
      <c r="D2570" s="2" t="s">
        <v>18</v>
      </c>
      <c r="E2570" s="5">
        <v>-29747</v>
      </c>
      <c r="F2570" s="3" t="s">
        <v>536</v>
      </c>
      <c r="G2570" s="3" t="s">
        <v>45</v>
      </c>
      <c r="H2570" s="2" t="s">
        <v>36</v>
      </c>
      <c r="I2570" s="2" t="s">
        <v>6150</v>
      </c>
      <c r="J2570" s="3" t="str">
        <f>HYPERLINK("https://www.boe.es/gazeta/dias/1818/07/21/pdfs/GMD-1818-87.pdf#page=8","Abrir facsímil")</f>
        <v>Abrir facsímil</v>
      </c>
      <c r="K2570" s="3" t="s">
        <v>38</v>
      </c>
    </row>
    <row r="2571" spans="1:11" ht="42" customHeight="1">
      <c r="A2571" s="2" t="s">
        <v>6151</v>
      </c>
      <c r="B2571" s="2" t="s">
        <v>6151</v>
      </c>
      <c r="C2571" s="2" t="s">
        <v>33</v>
      </c>
      <c r="D2571" s="2" t="s">
        <v>18</v>
      </c>
      <c r="E2571" s="5">
        <v>-29596</v>
      </c>
      <c r="F2571" s="3" t="s">
        <v>555</v>
      </c>
      <c r="G2571" s="3" t="s">
        <v>106</v>
      </c>
      <c r="H2571" s="2" t="s">
        <v>36</v>
      </c>
      <c r="I2571" s="2" t="s">
        <v>6152</v>
      </c>
      <c r="J2571" s="3" t="str">
        <f>HYPERLINK("https://www.boe.es/gazeta/dias/1818/12/19/pdfs/GMD-1818-153.pdf#page=5","Abrir facsímil")</f>
        <v>Abrir facsímil</v>
      </c>
      <c r="K2571" s="3" t="s">
        <v>38</v>
      </c>
    </row>
    <row r="2572" spans="1:11" ht="42" customHeight="1">
      <c r="A2572" s="2" t="s">
        <v>6153</v>
      </c>
      <c r="B2572" s="2" t="s">
        <v>6154</v>
      </c>
      <c r="C2572" s="2" t="s">
        <v>33</v>
      </c>
      <c r="D2572" s="2" t="s">
        <v>18</v>
      </c>
      <c r="E2572" s="5">
        <v>-29596</v>
      </c>
      <c r="F2572" s="3" t="s">
        <v>555</v>
      </c>
      <c r="G2572" s="3" t="s">
        <v>106</v>
      </c>
      <c r="H2572" s="2" t="s">
        <v>36</v>
      </c>
      <c r="I2572" s="2" t="s">
        <v>6155</v>
      </c>
      <c r="J2572" s="3" t="str">
        <f>HYPERLINK("https://www.boe.es/gazeta/dias/1818/12/19/pdfs/GMD-1818-153.pdf#page=5","Abrir facsímil")</f>
        <v>Abrir facsímil</v>
      </c>
      <c r="K2572" s="3" t="s">
        <v>38</v>
      </c>
    </row>
    <row r="2573" spans="1:11" ht="42" customHeight="1">
      <c r="A2573" s="2" t="s">
        <v>6156</v>
      </c>
      <c r="B2573" s="2" t="s">
        <v>6157</v>
      </c>
      <c r="C2573" s="2" t="s">
        <v>26</v>
      </c>
      <c r="D2573" s="2" t="s">
        <v>27</v>
      </c>
      <c r="E2573" s="5">
        <v>-29831</v>
      </c>
      <c r="F2573" s="3" t="s">
        <v>567</v>
      </c>
      <c r="G2573" s="3" t="s">
        <v>20</v>
      </c>
      <c r="H2573" s="2" t="s">
        <v>21</v>
      </c>
      <c r="I2573" s="2" t="s">
        <v>6158</v>
      </c>
      <c r="J2573" s="3" t="str">
        <f>HYPERLINK("https://www.boe.es/gazeta/dias/1818/04/28/pdfs/GMD-1818-51.pdf#page=7","Abrir facsímil")</f>
        <v>Abrir facsímil</v>
      </c>
      <c r="K2573" s="3" t="s">
        <v>23</v>
      </c>
    </row>
    <row r="2574" spans="1:11" ht="42" customHeight="1">
      <c r="A2574" s="2" t="s">
        <v>6159</v>
      </c>
      <c r="B2574" s="2" t="s">
        <v>6160</v>
      </c>
      <c r="C2574" s="2" t="s">
        <v>26</v>
      </c>
      <c r="D2574" s="2" t="s">
        <v>27</v>
      </c>
      <c r="E2574" s="5">
        <v>-29920</v>
      </c>
      <c r="F2574" s="3" t="s">
        <v>201</v>
      </c>
      <c r="G2574" s="3" t="s">
        <v>106</v>
      </c>
      <c r="H2574" s="2" t="s">
        <v>36</v>
      </c>
      <c r="I2574" s="2" t="s">
        <v>6161</v>
      </c>
      <c r="J2574" s="3" t="str">
        <f>HYPERLINK("https://www.boe.es/gazeta/dias/1818/01/29/pdfs/GMD-1818-13.pdf#page=5","Abrir facsímil")</f>
        <v>Abrir facsímil</v>
      </c>
      <c r="K2574" s="3" t="s">
        <v>38</v>
      </c>
    </row>
    <row r="2575" spans="1:11" ht="42" customHeight="1">
      <c r="A2575" s="2" t="s">
        <v>6162</v>
      </c>
      <c r="B2575" s="2" t="s">
        <v>6163</v>
      </c>
      <c r="C2575" s="2" t="s">
        <v>68</v>
      </c>
      <c r="D2575" s="2" t="s">
        <v>69</v>
      </c>
      <c r="E2575" s="5">
        <v>-29722</v>
      </c>
      <c r="F2575" s="3" t="s">
        <v>1127</v>
      </c>
      <c r="G2575" s="3" t="s">
        <v>85</v>
      </c>
      <c r="H2575" s="2" t="s">
        <v>36</v>
      </c>
      <c r="I2575" s="2" t="s">
        <v>6164</v>
      </c>
      <c r="J2575" s="3" t="str">
        <f>HYPERLINK("https://www.boe.es/gazeta/dias/1818/08/15/pdfs/GMD-1818-98.pdf#page=3","Abrir facsímil")</f>
        <v>Abrir facsímil</v>
      </c>
      <c r="K2575" s="3" t="s">
        <v>38</v>
      </c>
    </row>
    <row r="2576" spans="1:11" ht="42" customHeight="1">
      <c r="A2576" s="2" t="s">
        <v>6165</v>
      </c>
      <c r="B2576" s="2" t="s">
        <v>6166</v>
      </c>
      <c r="C2576" s="2" t="s">
        <v>26</v>
      </c>
      <c r="D2576" s="2" t="s">
        <v>27</v>
      </c>
      <c r="E2576" s="5">
        <v>-29677</v>
      </c>
      <c r="F2576" s="3" t="s">
        <v>157</v>
      </c>
      <c r="G2576" s="3" t="s">
        <v>20</v>
      </c>
      <c r="H2576" s="2" t="s">
        <v>36</v>
      </c>
      <c r="I2576" s="2" t="s">
        <v>6167</v>
      </c>
      <c r="J2576" s="3" t="str">
        <f>HYPERLINK("https://www.boe.es/gazeta/dias/1818/09/29/pdfs/GMD-1818-117.pdf#page=7","Abrir facsímil")</f>
        <v>Abrir facsímil</v>
      </c>
      <c r="K2576" s="3" t="s">
        <v>38</v>
      </c>
    </row>
    <row r="2577" spans="1:11" ht="42" customHeight="1">
      <c r="A2577" s="2" t="s">
        <v>6168</v>
      </c>
      <c r="B2577" s="2" t="s">
        <v>6169</v>
      </c>
      <c r="C2577" s="2" t="s">
        <v>26</v>
      </c>
      <c r="D2577" s="2" t="s">
        <v>27</v>
      </c>
      <c r="E2577" s="5">
        <v>-29626</v>
      </c>
      <c r="F2577" s="3" t="s">
        <v>496</v>
      </c>
      <c r="G2577" s="3" t="s">
        <v>45</v>
      </c>
      <c r="H2577" s="2" t="s">
        <v>36</v>
      </c>
      <c r="I2577" s="2" t="s">
        <v>6170</v>
      </c>
      <c r="J2577" s="3" t="str">
        <f>HYPERLINK("https://www.boe.es/gazeta/dias/1818/11/19/pdfs/GMD-1818-140.pdf#page=8","Abrir facsímil")</f>
        <v>Abrir facsímil</v>
      </c>
      <c r="K2577" s="3" t="s">
        <v>38</v>
      </c>
    </row>
    <row r="2578" spans="1:11" ht="42" customHeight="1">
      <c r="A2578" s="2" t="s">
        <v>6171</v>
      </c>
      <c r="B2578" s="2" t="s">
        <v>6172</v>
      </c>
      <c r="C2578" s="2" t="s">
        <v>68</v>
      </c>
      <c r="D2578" s="2" t="s">
        <v>69</v>
      </c>
      <c r="E2578" s="5">
        <v>-29752</v>
      </c>
      <c r="F2578" s="3" t="s">
        <v>165</v>
      </c>
      <c r="G2578" s="3" t="s">
        <v>20</v>
      </c>
      <c r="H2578" s="2" t="s">
        <v>36</v>
      </c>
      <c r="I2578" s="2" t="s">
        <v>6173</v>
      </c>
      <c r="J2578" s="3" t="str">
        <f>HYPERLINK("https://www.boe.es/gazeta/dias/1818/07/16/pdfs/GMD-1818-85.pdf#page=7","Abrir facsímil")</f>
        <v>Abrir facsímil</v>
      </c>
      <c r="K2578" s="3" t="s">
        <v>38</v>
      </c>
    </row>
    <row r="2579" spans="1:11" ht="42" customHeight="1">
      <c r="A2579" s="2" t="s">
        <v>6174</v>
      </c>
      <c r="B2579" s="2" t="s">
        <v>6174</v>
      </c>
      <c r="C2579" s="2" t="s">
        <v>26</v>
      </c>
      <c r="D2579" s="2" t="s">
        <v>27</v>
      </c>
      <c r="E2579" s="5">
        <v>-29932</v>
      </c>
      <c r="F2579" s="3" t="s">
        <v>34</v>
      </c>
      <c r="G2579" s="3" t="s">
        <v>85</v>
      </c>
      <c r="H2579" s="2" t="s">
        <v>36</v>
      </c>
      <c r="I2579" s="2" t="s">
        <v>6175</v>
      </c>
      <c r="J2579" s="3" t="str">
        <f>HYPERLINK("https://www.boe.es/gazeta/dias/1818/01/17/pdfs/GMD-1818-8.pdf#page=3","Abrir facsímil")</f>
        <v>Abrir facsímil</v>
      </c>
      <c r="K2579" s="3" t="s">
        <v>38</v>
      </c>
    </row>
    <row r="2580" spans="1:11" ht="42" customHeight="1">
      <c r="A2580" s="2" t="s">
        <v>6176</v>
      </c>
      <c r="B2580" s="2" t="s">
        <v>6176</v>
      </c>
      <c r="C2580" s="2" t="s">
        <v>26</v>
      </c>
      <c r="D2580" s="2" t="s">
        <v>27</v>
      </c>
      <c r="E2580" s="5">
        <v>-29803</v>
      </c>
      <c r="F2580" s="3" t="s">
        <v>1393</v>
      </c>
      <c r="G2580" s="3" t="s">
        <v>49</v>
      </c>
      <c r="H2580" s="2" t="s">
        <v>36</v>
      </c>
      <c r="I2580" s="2" t="s">
        <v>6177</v>
      </c>
      <c r="J2580" s="3" t="str">
        <f>HYPERLINK("https://www.boe.es/gazeta/dias/1818/05/26/pdfs/GMD-1818-63.pdf#page=1","Abrir facsímil")</f>
        <v>Abrir facsímil</v>
      </c>
      <c r="K2580" s="3" t="s">
        <v>38</v>
      </c>
    </row>
    <row r="2581" spans="1:11" ht="42" customHeight="1">
      <c r="A2581" s="2" t="s">
        <v>6174</v>
      </c>
      <c r="B2581" s="2" t="s">
        <v>6174</v>
      </c>
      <c r="C2581" s="2" t="s">
        <v>26</v>
      </c>
      <c r="D2581" s="2" t="s">
        <v>27</v>
      </c>
      <c r="E2581" s="5">
        <v>-29787</v>
      </c>
      <c r="F2581" s="3" t="s">
        <v>343</v>
      </c>
      <c r="G2581" s="3" t="s">
        <v>120</v>
      </c>
      <c r="H2581" s="2" t="s">
        <v>36</v>
      </c>
      <c r="I2581" s="2" t="s">
        <v>6178</v>
      </c>
      <c r="J2581" s="3" t="str">
        <f>HYPERLINK("https://www.boe.es/gazeta/dias/1818/06/11/pdfs/GMD-1818-70.pdf#page=2","Abrir facsímil")</f>
        <v>Abrir facsímil</v>
      </c>
      <c r="K2581" s="3" t="s">
        <v>38</v>
      </c>
    </row>
    <row r="2582" spans="1:11" ht="42" customHeight="1">
      <c r="A2582" s="2" t="s">
        <v>6174</v>
      </c>
      <c r="B2582" s="2" t="s">
        <v>6174</v>
      </c>
      <c r="C2582" s="2" t="s">
        <v>26</v>
      </c>
      <c r="D2582" s="2" t="s">
        <v>27</v>
      </c>
      <c r="E2582" s="5">
        <v>-29717</v>
      </c>
      <c r="F2582" s="3" t="s">
        <v>1644</v>
      </c>
      <c r="G2582" s="3" t="s">
        <v>1645</v>
      </c>
      <c r="H2582" s="2" t="s">
        <v>36</v>
      </c>
      <c r="I2582" s="2" t="s">
        <v>6179</v>
      </c>
      <c r="J2582" s="3" t="str">
        <f>HYPERLINK("https://www.boe.es/gazeta/dias/1818/08/20/pdfs/GMD-1818-100.pdf#page=2","Abrir facsímil")</f>
        <v>Abrir facsímil</v>
      </c>
      <c r="K2582" s="3" t="s">
        <v>38</v>
      </c>
    </row>
    <row r="2583" spans="1:11" ht="42" customHeight="1">
      <c r="A2583" s="2" t="s">
        <v>6174</v>
      </c>
      <c r="B2583" s="2" t="s">
        <v>6174</v>
      </c>
      <c r="C2583" s="2" t="s">
        <v>26</v>
      </c>
      <c r="D2583" s="2" t="s">
        <v>27</v>
      </c>
      <c r="E2583" s="5">
        <v>-29654</v>
      </c>
      <c r="F2583" s="3" t="s">
        <v>219</v>
      </c>
      <c r="G2583" s="3" t="s">
        <v>49</v>
      </c>
      <c r="H2583" s="2" t="s">
        <v>36</v>
      </c>
      <c r="I2583" s="2" t="s">
        <v>6180</v>
      </c>
      <c r="J2583" s="3" t="str">
        <f>HYPERLINK("https://www.boe.es/gazeta/dias/1818/10/22/pdfs/GMD-1818-128.pdf#page=1","Abrir facsímil")</f>
        <v>Abrir facsímil</v>
      </c>
      <c r="K2583" s="3" t="s">
        <v>38</v>
      </c>
    </row>
    <row r="2584" spans="1:11" ht="42" customHeight="1">
      <c r="A2584" s="2" t="s">
        <v>6181</v>
      </c>
      <c r="B2584" s="2" t="s">
        <v>6182</v>
      </c>
      <c r="C2584" s="2" t="s">
        <v>26</v>
      </c>
      <c r="D2584" s="2" t="s">
        <v>27</v>
      </c>
      <c r="E2584" s="5">
        <v>-29656</v>
      </c>
      <c r="F2584" s="3" t="s">
        <v>601</v>
      </c>
      <c r="G2584" s="3" t="s">
        <v>85</v>
      </c>
      <c r="H2584" s="2" t="s">
        <v>36</v>
      </c>
      <c r="I2584" s="2" t="s">
        <v>6183</v>
      </c>
      <c r="J2584" s="3" t="str">
        <f>HYPERLINK("https://www.boe.es/gazeta/dias/1818/10/20/pdfs/GMD-1818-127.pdf#page=3","Abrir facsímil")</f>
        <v>Abrir facsímil</v>
      </c>
      <c r="K2584" s="3" t="s">
        <v>38</v>
      </c>
    </row>
    <row r="2585" spans="1:11" ht="42" customHeight="1">
      <c r="A2585" s="2" t="s">
        <v>6184</v>
      </c>
      <c r="B2585" s="2" t="s">
        <v>6184</v>
      </c>
      <c r="C2585" s="2" t="s">
        <v>26</v>
      </c>
      <c r="D2585" s="2" t="s">
        <v>27</v>
      </c>
      <c r="E2585" s="5">
        <v>-29701</v>
      </c>
      <c r="F2585" s="3" t="s">
        <v>596</v>
      </c>
      <c r="G2585" s="3" t="s">
        <v>29</v>
      </c>
      <c r="H2585" s="2" t="s">
        <v>36</v>
      </c>
      <c r="I2585" s="2" t="s">
        <v>6185</v>
      </c>
      <c r="J2585" s="3" t="str">
        <f>HYPERLINK("https://www.boe.es/gazeta/dias/1818/09/05/pdfs/GMD-1818-107.pdf#page=4","Abrir facsímil")</f>
        <v>Abrir facsímil</v>
      </c>
      <c r="K2585" s="3" t="s">
        <v>38</v>
      </c>
    </row>
    <row r="2586" spans="1:11" ht="42" customHeight="1">
      <c r="A2586" s="2" t="s">
        <v>6186</v>
      </c>
      <c r="B2586" s="2" t="s">
        <v>6187</v>
      </c>
      <c r="C2586" s="2" t="s">
        <v>57</v>
      </c>
      <c r="D2586" s="2" t="s">
        <v>18</v>
      </c>
      <c r="E2586" s="5">
        <v>-29619</v>
      </c>
      <c r="F2586" s="3" t="s">
        <v>64</v>
      </c>
      <c r="G2586" s="3" t="s">
        <v>20</v>
      </c>
      <c r="H2586" s="2" t="s">
        <v>36</v>
      </c>
      <c r="I2586" s="2" t="s">
        <v>6188</v>
      </c>
      <c r="J2586" s="3" t="str">
        <f>HYPERLINK("https://www.boe.es/gazeta/dias/1818/11/26/pdfs/GMD-1818-143.pdf#page=7","Abrir facsímil")</f>
        <v>Abrir facsímil</v>
      </c>
      <c r="K2586" s="3" t="s">
        <v>38</v>
      </c>
    </row>
    <row r="2587" spans="1:11" ht="42" customHeight="1">
      <c r="A2587" s="2" t="s">
        <v>6189</v>
      </c>
      <c r="B2587" s="2" t="s">
        <v>6190</v>
      </c>
      <c r="C2587" s="2" t="s">
        <v>17</v>
      </c>
      <c r="D2587" s="2" t="s">
        <v>18</v>
      </c>
      <c r="E2587" s="5">
        <v>-29736</v>
      </c>
      <c r="F2587" s="3" t="s">
        <v>581</v>
      </c>
      <c r="G2587" s="3" t="s">
        <v>20</v>
      </c>
      <c r="H2587" s="2" t="s">
        <v>36</v>
      </c>
      <c r="I2587" s="2" t="s">
        <v>6191</v>
      </c>
      <c r="J2587" s="3" t="str">
        <f>HYPERLINK("https://www.boe.es/gazeta/dias/1818/08/01/pdfs/GMD-1818-92.pdf#page=7","Abrir facsímil")</f>
        <v>Abrir facsímil</v>
      </c>
      <c r="K2587" s="3" t="s">
        <v>38</v>
      </c>
    </row>
    <row r="2588" spans="1:11" ht="42" customHeight="1">
      <c r="A2588" s="2" t="s">
        <v>6192</v>
      </c>
      <c r="B2588" s="2" t="s">
        <v>6193</v>
      </c>
      <c r="C2588" s="2" t="s">
        <v>17</v>
      </c>
      <c r="D2588" s="2" t="s">
        <v>18</v>
      </c>
      <c r="E2588" s="5">
        <v>-29631</v>
      </c>
      <c r="F2588" s="3" t="s">
        <v>743</v>
      </c>
      <c r="G2588" s="3" t="s">
        <v>59</v>
      </c>
      <c r="H2588" s="2" t="s">
        <v>36</v>
      </c>
      <c r="I2588" s="2" t="s">
        <v>6194</v>
      </c>
      <c r="J2588" s="3" t="str">
        <f>HYPERLINK("https://www.boe.es/gazeta/dias/1818/11/14/pdfs/GMD-1818-138.pdf#page=6","Abrir facsímil")</f>
        <v>Abrir facsímil</v>
      </c>
      <c r="K2588" s="3" t="s">
        <v>38</v>
      </c>
    </row>
    <row r="2589" spans="1:11" ht="42" customHeight="1">
      <c r="A2589" s="2" t="s">
        <v>6195</v>
      </c>
      <c r="B2589" s="2" t="s">
        <v>6196</v>
      </c>
      <c r="C2589" s="2" t="s">
        <v>17</v>
      </c>
      <c r="D2589" s="2" t="s">
        <v>18</v>
      </c>
      <c r="E2589" s="5">
        <v>-29880</v>
      </c>
      <c r="F2589" s="3" t="s">
        <v>359</v>
      </c>
      <c r="G2589" s="3" t="s">
        <v>20</v>
      </c>
      <c r="H2589" s="2" t="s">
        <v>36</v>
      </c>
      <c r="I2589" s="2" t="s">
        <v>6197</v>
      </c>
      <c r="J2589" s="3" t="str">
        <f>HYPERLINK("https://www.boe.es/gazeta/dias/1818/03/10/pdfs/GMD-1818-30.pdf#page=7","Abrir facsímil")</f>
        <v>Abrir facsímil</v>
      </c>
      <c r="K2589" s="3" t="s">
        <v>38</v>
      </c>
    </row>
    <row r="2590" spans="1:11" ht="42" customHeight="1">
      <c r="A2590" s="2" t="s">
        <v>6198</v>
      </c>
      <c r="B2590" s="2" t="s">
        <v>6199</v>
      </c>
      <c r="C2590" s="2" t="s">
        <v>17</v>
      </c>
      <c r="D2590" s="2" t="s">
        <v>18</v>
      </c>
      <c r="E2590" s="5">
        <v>-29631</v>
      </c>
      <c r="F2590" s="3" t="s">
        <v>743</v>
      </c>
      <c r="G2590" s="3" t="s">
        <v>106</v>
      </c>
      <c r="H2590" s="2" t="s">
        <v>36</v>
      </c>
      <c r="I2590" s="2" t="s">
        <v>6200</v>
      </c>
      <c r="J2590" s="3" t="str">
        <f>HYPERLINK("https://www.boe.es/gazeta/dias/1818/11/14/pdfs/GMD-1818-138.pdf#page=5","Abrir facsímil")</f>
        <v>Abrir facsímil</v>
      </c>
      <c r="K2590" s="3" t="s">
        <v>38</v>
      </c>
    </row>
    <row r="2591" spans="1:11" ht="42" customHeight="1">
      <c r="A2591" s="2" t="s">
        <v>6201</v>
      </c>
      <c r="B2591" s="2" t="s">
        <v>6202</v>
      </c>
      <c r="C2591" s="2" t="s">
        <v>68</v>
      </c>
      <c r="D2591" s="2" t="s">
        <v>69</v>
      </c>
      <c r="E2591" s="5">
        <v>-29647</v>
      </c>
      <c r="F2591" s="3" t="s">
        <v>1547</v>
      </c>
      <c r="G2591" s="3" t="s">
        <v>45</v>
      </c>
      <c r="H2591" s="2" t="s">
        <v>36</v>
      </c>
      <c r="I2591" s="2" t="s">
        <v>6203</v>
      </c>
      <c r="J2591" s="3" t="str">
        <f>HYPERLINK("https://www.boe.es/gazeta/dias/1818/10/29/pdfs/GMD-1818-131.pdf#page=8","Abrir facsímil")</f>
        <v>Abrir facsímil</v>
      </c>
      <c r="K2591" s="3" t="s">
        <v>38</v>
      </c>
    </row>
    <row r="2592" spans="1:11" ht="42" customHeight="1">
      <c r="A2592" s="2" t="s">
        <v>6204</v>
      </c>
      <c r="B2592" s="2" t="s">
        <v>6205</v>
      </c>
      <c r="C2592" s="2" t="s">
        <v>63</v>
      </c>
      <c r="D2592" s="2" t="s">
        <v>18</v>
      </c>
      <c r="E2592" s="5">
        <v>-29913</v>
      </c>
      <c r="F2592" s="3" t="s">
        <v>449</v>
      </c>
      <c r="G2592" s="3" t="s">
        <v>45</v>
      </c>
      <c r="H2592" s="2" t="s">
        <v>36</v>
      </c>
      <c r="I2592" s="2" t="s">
        <v>6206</v>
      </c>
      <c r="J2592" s="3" t="str">
        <f>HYPERLINK("https://www.boe.es/gazeta/dias/1818/02/05/pdfs/GMD-1818-16.pdf#page=8","Abrir facsímil")</f>
        <v>Abrir facsímil</v>
      </c>
      <c r="K2592" s="3" t="s">
        <v>38</v>
      </c>
    </row>
    <row r="2593" spans="1:11" ht="42" customHeight="1">
      <c r="A2593" s="2" t="s">
        <v>6207</v>
      </c>
      <c r="B2593" s="2" t="s">
        <v>6208</v>
      </c>
      <c r="C2593" s="2" t="s">
        <v>63</v>
      </c>
      <c r="D2593" s="2" t="s">
        <v>18</v>
      </c>
      <c r="E2593" s="5">
        <v>-29843</v>
      </c>
      <c r="F2593" s="3" t="s">
        <v>182</v>
      </c>
      <c r="G2593" s="3" t="s">
        <v>45</v>
      </c>
      <c r="H2593" s="2" t="s">
        <v>36</v>
      </c>
      <c r="I2593" s="2" t="s">
        <v>6209</v>
      </c>
      <c r="J2593" s="3" t="str">
        <f>HYPERLINK("https://www.boe.es/gazeta/dias/1818/04/16/pdfs/GMD-1818-46.pdf#page=8","Abrir facsímil")</f>
        <v>Abrir facsímil</v>
      </c>
      <c r="K2593" s="3" t="s">
        <v>38</v>
      </c>
    </row>
    <row r="2594" spans="1:11" ht="42" customHeight="1">
      <c r="A2594" s="2" t="s">
        <v>6210</v>
      </c>
      <c r="B2594" s="2" t="s">
        <v>6210</v>
      </c>
      <c r="C2594" s="2" t="s">
        <v>26</v>
      </c>
      <c r="D2594" s="2" t="s">
        <v>27</v>
      </c>
      <c r="E2594" s="5">
        <v>-29673</v>
      </c>
      <c r="F2594" s="3" t="s">
        <v>1099</v>
      </c>
      <c r="G2594" s="3" t="s">
        <v>29</v>
      </c>
      <c r="H2594" s="2" t="s">
        <v>36</v>
      </c>
      <c r="I2594" s="2" t="s">
        <v>6211</v>
      </c>
      <c r="J2594" s="3" t="str">
        <f>HYPERLINK("https://www.boe.es/gazeta/dias/1818/10/03/pdfs/GMD-1818-119.pdf#page=4","Abrir facsímil")</f>
        <v>Abrir facsímil</v>
      </c>
      <c r="K2594" s="3" t="s">
        <v>38</v>
      </c>
    </row>
    <row r="2595" spans="1:11" ht="42" customHeight="1">
      <c r="A2595" s="2" t="s">
        <v>6212</v>
      </c>
      <c r="B2595" s="2" t="s">
        <v>6213</v>
      </c>
      <c r="C2595" s="2" t="s">
        <v>17</v>
      </c>
      <c r="D2595" s="2" t="s">
        <v>18</v>
      </c>
      <c r="E2595" s="5">
        <v>-29927</v>
      </c>
      <c r="F2595" s="3" t="s">
        <v>1381</v>
      </c>
      <c r="G2595" s="3" t="s">
        <v>20</v>
      </c>
      <c r="H2595" s="2" t="s">
        <v>36</v>
      </c>
      <c r="I2595" s="2" t="s">
        <v>6214</v>
      </c>
      <c r="J2595" s="3" t="str">
        <f>HYPERLINK("https://www.boe.es/gazeta/dias/1818/01/22/pdfs/GMD-1818-10.pdf#page=7","Abrir facsímil")</f>
        <v>Abrir facsímil</v>
      </c>
      <c r="K2595" s="3" t="s">
        <v>38</v>
      </c>
    </row>
    <row r="2596" spans="1:11" ht="42" customHeight="1">
      <c r="A2596" s="2" t="s">
        <v>6215</v>
      </c>
      <c r="B2596" s="2" t="s">
        <v>6216</v>
      </c>
      <c r="C2596" s="2" t="s">
        <v>26</v>
      </c>
      <c r="D2596" s="2" t="s">
        <v>27</v>
      </c>
      <c r="E2596" s="5">
        <v>-29626</v>
      </c>
      <c r="F2596" s="3" t="s">
        <v>496</v>
      </c>
      <c r="G2596" s="3" t="s">
        <v>59</v>
      </c>
      <c r="H2596" s="2" t="s">
        <v>36</v>
      </c>
      <c r="I2596" s="2" t="s">
        <v>6217</v>
      </c>
      <c r="J2596" s="3" t="str">
        <f>HYPERLINK("https://www.boe.es/gazeta/dias/1818/11/19/pdfs/GMD-1818-140.pdf#page=6","Abrir facsímil")</f>
        <v>Abrir facsímil</v>
      </c>
      <c r="K2596" s="3" t="s">
        <v>38</v>
      </c>
    </row>
    <row r="2597" spans="1:11" ht="42" customHeight="1">
      <c r="A2597" s="2" t="s">
        <v>6218</v>
      </c>
      <c r="B2597" s="2" t="s">
        <v>6219</v>
      </c>
      <c r="C2597" s="2" t="s">
        <v>68</v>
      </c>
      <c r="D2597" s="2" t="s">
        <v>69</v>
      </c>
      <c r="E2597" s="5">
        <v>-29932</v>
      </c>
      <c r="F2597" s="3" t="s">
        <v>34</v>
      </c>
      <c r="G2597" s="3" t="s">
        <v>35</v>
      </c>
      <c r="H2597" s="2" t="s">
        <v>36</v>
      </c>
      <c r="I2597" s="2" t="s">
        <v>6220</v>
      </c>
      <c r="J2597" s="3" t="str">
        <f>HYPERLINK("https://www.boe.es/gazeta/dias/1818/01/17/pdfs/GMD-1818-8.pdf#page=8","Abrir facsímil")</f>
        <v>Abrir facsímil</v>
      </c>
      <c r="K2597" s="3" t="s">
        <v>38</v>
      </c>
    </row>
    <row r="2598" spans="1:11" ht="42" customHeight="1">
      <c r="A2598" s="2" t="s">
        <v>6218</v>
      </c>
      <c r="B2598" s="2" t="s">
        <v>6219</v>
      </c>
      <c r="C2598" s="2" t="s">
        <v>68</v>
      </c>
      <c r="D2598" s="2" t="s">
        <v>69</v>
      </c>
      <c r="E2598" s="5">
        <v>-29892</v>
      </c>
      <c r="F2598" s="3" t="s">
        <v>39</v>
      </c>
      <c r="G2598" s="3" t="s">
        <v>40</v>
      </c>
      <c r="H2598" s="2" t="s">
        <v>36</v>
      </c>
      <c r="I2598" s="2" t="s">
        <v>6221</v>
      </c>
      <c r="J2598" s="3" t="str">
        <f>HYPERLINK("https://www.boe.es/gazeta/dias/1818/02/26/pdfs/GMD-1818-25.pdf#page=8","Abrir facsímil")</f>
        <v>Abrir facsímil</v>
      </c>
      <c r="K2598" s="3" t="s">
        <v>38</v>
      </c>
    </row>
    <row r="2599" spans="1:11" ht="42" customHeight="1">
      <c r="A2599" s="2" t="s">
        <v>6218</v>
      </c>
      <c r="B2599" s="2" t="s">
        <v>6219</v>
      </c>
      <c r="C2599" s="2" t="s">
        <v>68</v>
      </c>
      <c r="D2599" s="2" t="s">
        <v>69</v>
      </c>
      <c r="E2599" s="5">
        <v>-29869</v>
      </c>
      <c r="F2599" s="3" t="s">
        <v>140</v>
      </c>
      <c r="G2599" s="3" t="s">
        <v>45</v>
      </c>
      <c r="H2599" s="2" t="s">
        <v>36</v>
      </c>
      <c r="I2599" s="2" t="s">
        <v>6222</v>
      </c>
      <c r="J2599" s="3" t="str">
        <f>HYPERLINK("https://www.boe.es/gazeta/dias/1818/03/21/pdfs/GMD-1818-35.pdf#page=8","Abrir facsímil")</f>
        <v>Abrir facsímil</v>
      </c>
      <c r="K2599" s="3" t="s">
        <v>38</v>
      </c>
    </row>
    <row r="2600" spans="1:11" ht="42" customHeight="1">
      <c r="A2600" s="2" t="s">
        <v>6218</v>
      </c>
      <c r="B2600" s="2" t="s">
        <v>6219</v>
      </c>
      <c r="C2600" s="2" t="s">
        <v>57</v>
      </c>
      <c r="D2600" s="2" t="s">
        <v>18</v>
      </c>
      <c r="E2600" s="5">
        <v>-29792</v>
      </c>
      <c r="F2600" s="3" t="s">
        <v>948</v>
      </c>
      <c r="G2600" s="3" t="s">
        <v>45</v>
      </c>
      <c r="H2600" s="2" t="s">
        <v>36</v>
      </c>
      <c r="I2600" s="2" t="s">
        <v>6223</v>
      </c>
      <c r="J2600" s="3" t="str">
        <f>HYPERLINK("https://www.boe.es/gazeta/dias/1818/06/06/pdfs/GMD-1818-68.pdf#page=8","Abrir facsímil")</f>
        <v>Abrir facsímil</v>
      </c>
      <c r="K2600" s="3" t="s">
        <v>38</v>
      </c>
    </row>
    <row r="2601" spans="1:11" ht="42" customHeight="1">
      <c r="A2601" s="2" t="s">
        <v>6218</v>
      </c>
      <c r="B2601" s="2" t="s">
        <v>6219</v>
      </c>
      <c r="C2601" s="2" t="s">
        <v>68</v>
      </c>
      <c r="D2601" s="2" t="s">
        <v>69</v>
      </c>
      <c r="E2601" s="5">
        <v>-29598</v>
      </c>
      <c r="F2601" s="3" t="s">
        <v>98</v>
      </c>
      <c r="G2601" s="3" t="s">
        <v>20</v>
      </c>
      <c r="H2601" s="2" t="s">
        <v>36</v>
      </c>
      <c r="I2601" s="2" t="s">
        <v>6224</v>
      </c>
      <c r="J2601" s="3" t="str">
        <f>HYPERLINK("https://www.boe.es/gazeta/dias/1818/12/17/pdfs/GMD-1818-152.pdf#page=7","Abrir facsímil")</f>
        <v>Abrir facsímil</v>
      </c>
      <c r="K2601" s="3" t="s">
        <v>38</v>
      </c>
    </row>
    <row r="2602" spans="1:11" ht="42" customHeight="1">
      <c r="A2602" s="2" t="s">
        <v>6225</v>
      </c>
      <c r="B2602" s="2" t="s">
        <v>6226</v>
      </c>
      <c r="C2602" s="2" t="s">
        <v>68</v>
      </c>
      <c r="D2602" s="2" t="s">
        <v>69</v>
      </c>
      <c r="E2602" s="5">
        <v>-29677</v>
      </c>
      <c r="F2602" s="3" t="s">
        <v>157</v>
      </c>
      <c r="G2602" s="3" t="s">
        <v>158</v>
      </c>
      <c r="H2602" s="2" t="s">
        <v>36</v>
      </c>
      <c r="I2602" s="2" t="s">
        <v>6227</v>
      </c>
      <c r="J2602" s="3" t="str">
        <f>HYPERLINK("https://www.boe.es/gazeta/dias/1818/09/29/pdfs/GMD-1818-117.pdf#page=8","Abrir facsímil")</f>
        <v>Abrir facsímil</v>
      </c>
      <c r="K2602" s="3" t="s">
        <v>38</v>
      </c>
    </row>
    <row r="2603" spans="1:11" ht="42" customHeight="1">
      <c r="A2603" s="2" t="s">
        <v>6228</v>
      </c>
      <c r="B2603" s="2" t="s">
        <v>6229</v>
      </c>
      <c r="C2603" s="2" t="s">
        <v>26</v>
      </c>
      <c r="D2603" s="2" t="s">
        <v>27</v>
      </c>
      <c r="E2603" s="5">
        <v>-29745</v>
      </c>
      <c r="F2603" s="3" t="s">
        <v>409</v>
      </c>
      <c r="G2603" s="3" t="s">
        <v>29</v>
      </c>
      <c r="H2603" s="2" t="s">
        <v>36</v>
      </c>
      <c r="I2603" s="2" t="s">
        <v>6230</v>
      </c>
      <c r="J2603" s="3" t="str">
        <f>HYPERLINK("https://www.boe.es/gazeta/dias/1818/07/23/pdfs/GMD-1818-88.pdf#page=4","Abrir facsímil")</f>
        <v>Abrir facsímil</v>
      </c>
      <c r="K2603" s="3" t="s">
        <v>38</v>
      </c>
    </row>
    <row r="2604" spans="1:11" ht="42" customHeight="1">
      <c r="A2604" s="2" t="s">
        <v>6228</v>
      </c>
      <c r="B2604" s="2" t="s">
        <v>6229</v>
      </c>
      <c r="C2604" s="2" t="s">
        <v>26</v>
      </c>
      <c r="D2604" s="2" t="s">
        <v>27</v>
      </c>
      <c r="E2604" s="5">
        <v>-29745</v>
      </c>
      <c r="F2604" s="3" t="s">
        <v>409</v>
      </c>
      <c r="G2604" s="3" t="s">
        <v>106</v>
      </c>
      <c r="H2604" s="2" t="s">
        <v>36</v>
      </c>
      <c r="I2604" s="2" t="s">
        <v>6231</v>
      </c>
      <c r="J2604" s="3" t="str">
        <f>HYPERLINK("https://www.boe.es/gazeta/dias/1818/07/23/pdfs/GMD-1818-88.pdf#page=5","Abrir facsímil")</f>
        <v>Abrir facsímil</v>
      </c>
      <c r="K2604" s="3" t="s">
        <v>38</v>
      </c>
    </row>
    <row r="2605" spans="1:11" ht="42" customHeight="1">
      <c r="A2605" s="2" t="s">
        <v>6228</v>
      </c>
      <c r="B2605" s="2" t="s">
        <v>6229</v>
      </c>
      <c r="C2605" s="2" t="s">
        <v>26</v>
      </c>
      <c r="D2605" s="2" t="s">
        <v>27</v>
      </c>
      <c r="E2605" s="5">
        <v>-29680</v>
      </c>
      <c r="F2605" s="3" t="s">
        <v>865</v>
      </c>
      <c r="G2605" s="3" t="s">
        <v>20</v>
      </c>
      <c r="H2605" s="2" t="s">
        <v>36</v>
      </c>
      <c r="I2605" s="2" t="s">
        <v>6232</v>
      </c>
      <c r="J2605" s="3" t="str">
        <f>HYPERLINK("https://www.boe.es/gazeta/dias/1818/09/26/pdfs/GMD-1818-116.pdf#page=7","Abrir facsímil")</f>
        <v>Abrir facsímil</v>
      </c>
      <c r="K2605" s="3" t="s">
        <v>38</v>
      </c>
    </row>
    <row r="2606" spans="1:11" ht="42" customHeight="1">
      <c r="A2606" s="2" t="s">
        <v>6233</v>
      </c>
      <c r="B2606" s="2" t="s">
        <v>6233</v>
      </c>
      <c r="C2606" s="2" t="s">
        <v>26</v>
      </c>
      <c r="D2606" s="2" t="s">
        <v>27</v>
      </c>
      <c r="E2606" s="5">
        <v>-29946</v>
      </c>
      <c r="F2606" s="3" t="s">
        <v>724</v>
      </c>
      <c r="G2606" s="3" t="s">
        <v>45</v>
      </c>
      <c r="H2606" s="2" t="s">
        <v>36</v>
      </c>
      <c r="I2606" s="2" t="s">
        <v>6234</v>
      </c>
      <c r="J2606" s="3" t="str">
        <f>HYPERLINK("https://www.boe.es/gazeta/dias/1818/01/03/pdfs/GMD-1818-2.pdf#page=8","Abrir facsímil")</f>
        <v>Abrir facsímil</v>
      </c>
      <c r="K2606" s="3" t="s">
        <v>38</v>
      </c>
    </row>
    <row r="2607" spans="1:11" ht="42" customHeight="1">
      <c r="A2607" s="2" t="s">
        <v>6233</v>
      </c>
      <c r="B2607" s="2" t="s">
        <v>6233</v>
      </c>
      <c r="C2607" s="2" t="s">
        <v>26</v>
      </c>
      <c r="D2607" s="2" t="s">
        <v>27</v>
      </c>
      <c r="E2607" s="5">
        <v>-29901</v>
      </c>
      <c r="F2607" s="3" t="s">
        <v>417</v>
      </c>
      <c r="G2607" s="3" t="s">
        <v>503</v>
      </c>
      <c r="H2607" s="2" t="s">
        <v>36</v>
      </c>
      <c r="I2607" s="2" t="s">
        <v>6235</v>
      </c>
      <c r="J2607" s="3" t="str">
        <f>HYPERLINK("https://www.boe.es/gazeta/dias/1818/02/17/pdfs/GMD-1818-21.pdf#page=10","Abrir facsímil")</f>
        <v>Abrir facsímil</v>
      </c>
      <c r="K2607" s="3" t="s">
        <v>38</v>
      </c>
    </row>
    <row r="2608" spans="1:11" ht="42" customHeight="1">
      <c r="A2608" s="2" t="s">
        <v>6233</v>
      </c>
      <c r="B2608" s="2" t="s">
        <v>6233</v>
      </c>
      <c r="C2608" s="2" t="s">
        <v>26</v>
      </c>
      <c r="D2608" s="2" t="s">
        <v>27</v>
      </c>
      <c r="E2608" s="5">
        <v>-29897</v>
      </c>
      <c r="F2608" s="3" t="s">
        <v>318</v>
      </c>
      <c r="G2608" s="3" t="s">
        <v>45</v>
      </c>
      <c r="H2608" s="2" t="s">
        <v>36</v>
      </c>
      <c r="I2608" s="2" t="s">
        <v>6236</v>
      </c>
      <c r="J2608" s="3" t="str">
        <f>HYPERLINK("https://www.boe.es/gazeta/dias/1818/02/21/pdfs/GMD-1818-23.pdf#page=8","Abrir facsímil")</f>
        <v>Abrir facsímil</v>
      </c>
      <c r="K2608" s="3" t="s">
        <v>38</v>
      </c>
    </row>
    <row r="2609" spans="1:11" ht="42" customHeight="1">
      <c r="A2609" s="2" t="s">
        <v>6233</v>
      </c>
      <c r="B2609" s="2" t="s">
        <v>6233</v>
      </c>
      <c r="C2609" s="2" t="s">
        <v>26</v>
      </c>
      <c r="D2609" s="2" t="s">
        <v>27</v>
      </c>
      <c r="E2609" s="5">
        <v>-29857</v>
      </c>
      <c r="F2609" s="3" t="s">
        <v>831</v>
      </c>
      <c r="G2609" s="3" t="s">
        <v>106</v>
      </c>
      <c r="H2609" s="2" t="s">
        <v>36</v>
      </c>
      <c r="I2609" s="2" t="s">
        <v>6237</v>
      </c>
      <c r="J2609" s="3" t="str">
        <f>HYPERLINK("https://www.boe.es/gazeta/dias/1818/04/02/pdfs/GMD-1818-40.pdf#page=5","Abrir facsímil")</f>
        <v>Abrir facsímil</v>
      </c>
      <c r="K2609" s="3" t="s">
        <v>38</v>
      </c>
    </row>
    <row r="2610" spans="1:11" ht="42" customHeight="1">
      <c r="A2610" s="2" t="s">
        <v>6233</v>
      </c>
      <c r="B2610" s="2" t="s">
        <v>6233</v>
      </c>
      <c r="C2610" s="2" t="s">
        <v>26</v>
      </c>
      <c r="D2610" s="2" t="s">
        <v>27</v>
      </c>
      <c r="E2610" s="5">
        <v>-29841</v>
      </c>
      <c r="F2610" s="3" t="s">
        <v>19</v>
      </c>
      <c r="G2610" s="3" t="s">
        <v>106</v>
      </c>
      <c r="H2610" s="2" t="s">
        <v>36</v>
      </c>
      <c r="I2610" s="2" t="s">
        <v>6238</v>
      </c>
      <c r="J2610" s="3" t="str">
        <f>HYPERLINK("https://www.boe.es/gazeta/dias/1818/04/18/pdfs/GMD-1818-47.pdf#page=5","Abrir facsímil")</f>
        <v>Abrir facsímil</v>
      </c>
      <c r="K2610" s="3" t="s">
        <v>38</v>
      </c>
    </row>
    <row r="2611" spans="1:11" ht="42" customHeight="1">
      <c r="A2611" s="2" t="s">
        <v>6233</v>
      </c>
      <c r="B2611" s="2" t="s">
        <v>6233</v>
      </c>
      <c r="C2611" s="2" t="s">
        <v>33</v>
      </c>
      <c r="D2611" s="2" t="s">
        <v>18</v>
      </c>
      <c r="E2611" s="5">
        <v>-29841</v>
      </c>
      <c r="F2611" s="3" t="s">
        <v>19</v>
      </c>
      <c r="G2611" s="3" t="s">
        <v>45</v>
      </c>
      <c r="H2611" s="2" t="s">
        <v>36</v>
      </c>
      <c r="I2611" s="2" t="s">
        <v>6239</v>
      </c>
      <c r="J2611" s="3" t="str">
        <f>HYPERLINK("https://www.boe.es/gazeta/dias/1818/04/18/pdfs/GMD-1818-47.pdf#page=8","Abrir facsímil")</f>
        <v>Abrir facsímil</v>
      </c>
      <c r="K2611" s="3" t="s">
        <v>38</v>
      </c>
    </row>
    <row r="2612" spans="1:11" ht="42" customHeight="1">
      <c r="A2612" s="2" t="s">
        <v>6233</v>
      </c>
      <c r="B2612" s="2" t="s">
        <v>6233</v>
      </c>
      <c r="C2612" s="2" t="s">
        <v>63</v>
      </c>
      <c r="D2612" s="2" t="s">
        <v>18</v>
      </c>
      <c r="E2612" s="5">
        <v>-29824</v>
      </c>
      <c r="F2612" s="3" t="s">
        <v>101</v>
      </c>
      <c r="G2612" s="3" t="s">
        <v>45</v>
      </c>
      <c r="H2612" s="2" t="s">
        <v>36</v>
      </c>
      <c r="I2612" s="2" t="s">
        <v>6240</v>
      </c>
      <c r="J2612" s="3" t="str">
        <f>HYPERLINK("https://www.boe.es/gazeta/dias/1818/05/05/pdfs/GMD-1818-54.pdf#page=8","Abrir facsímil")</f>
        <v>Abrir facsímil</v>
      </c>
      <c r="K2612" s="3" t="s">
        <v>38</v>
      </c>
    </row>
    <row r="2613" spans="1:11" ht="42" customHeight="1">
      <c r="A2613" s="2" t="s">
        <v>6233</v>
      </c>
      <c r="B2613" s="2" t="s">
        <v>6233</v>
      </c>
      <c r="C2613" s="2" t="s">
        <v>17</v>
      </c>
      <c r="D2613" s="2" t="s">
        <v>18</v>
      </c>
      <c r="E2613" s="5">
        <v>-29808</v>
      </c>
      <c r="F2613" s="3" t="s">
        <v>80</v>
      </c>
      <c r="G2613" s="3" t="s">
        <v>85</v>
      </c>
      <c r="H2613" s="2" t="s">
        <v>36</v>
      </c>
      <c r="I2613" s="2" t="s">
        <v>6241</v>
      </c>
      <c r="J2613" s="3" t="str">
        <f>HYPERLINK("https://www.boe.es/gazeta/dias/1818/05/21/pdfs/GMD-1818-61.pdf#page=3","Abrir facsímil")</f>
        <v>Abrir facsímil</v>
      </c>
      <c r="K2613" s="3" t="s">
        <v>38</v>
      </c>
    </row>
    <row r="2614" spans="1:11" ht="42" customHeight="1">
      <c r="A2614" s="2" t="s">
        <v>6233</v>
      </c>
      <c r="B2614" s="2" t="s">
        <v>6233</v>
      </c>
      <c r="C2614" s="2" t="s">
        <v>17</v>
      </c>
      <c r="D2614" s="2" t="s">
        <v>18</v>
      </c>
      <c r="E2614" s="5">
        <v>-29773</v>
      </c>
      <c r="F2614" s="3" t="s">
        <v>424</v>
      </c>
      <c r="G2614" s="3" t="s">
        <v>106</v>
      </c>
      <c r="H2614" s="2" t="s">
        <v>36</v>
      </c>
      <c r="I2614" s="2" t="s">
        <v>6242</v>
      </c>
      <c r="J2614" s="3" t="str">
        <f>HYPERLINK("https://www.boe.es/gazeta/dias/1818/06/25/pdfs/GMD-1818-76.pdf#page=5","Abrir facsímil")</f>
        <v>Abrir facsímil</v>
      </c>
      <c r="K2614" s="3" t="s">
        <v>38</v>
      </c>
    </row>
    <row r="2615" spans="1:11" ht="42" customHeight="1">
      <c r="A2615" s="2" t="s">
        <v>6233</v>
      </c>
      <c r="B2615" s="2" t="s">
        <v>6233</v>
      </c>
      <c r="C2615" s="2" t="s">
        <v>26</v>
      </c>
      <c r="D2615" s="2" t="s">
        <v>27</v>
      </c>
      <c r="E2615" s="5">
        <v>-29754</v>
      </c>
      <c r="F2615" s="3" t="s">
        <v>466</v>
      </c>
      <c r="G2615" s="3" t="s">
        <v>59</v>
      </c>
      <c r="H2615" s="2" t="s">
        <v>36</v>
      </c>
      <c r="I2615" s="2" t="s">
        <v>6243</v>
      </c>
      <c r="J2615" s="3" t="str">
        <f>HYPERLINK("https://www.boe.es/gazeta/dias/1818/07/14/pdfs/GMD-1818-84.pdf#page=6","Abrir facsímil")</f>
        <v>Abrir facsímil</v>
      </c>
      <c r="K2615" s="3" t="s">
        <v>38</v>
      </c>
    </row>
    <row r="2616" spans="1:11" ht="42" customHeight="1">
      <c r="A2616" s="2" t="s">
        <v>6233</v>
      </c>
      <c r="B2616" s="2" t="s">
        <v>6233</v>
      </c>
      <c r="C2616" s="2" t="s">
        <v>26</v>
      </c>
      <c r="D2616" s="2" t="s">
        <v>27</v>
      </c>
      <c r="E2616" s="5">
        <v>-29726</v>
      </c>
      <c r="F2616" s="3" t="s">
        <v>70</v>
      </c>
      <c r="G2616" s="3" t="s">
        <v>116</v>
      </c>
      <c r="H2616" s="2" t="s">
        <v>36</v>
      </c>
      <c r="I2616" s="2" t="s">
        <v>6244</v>
      </c>
      <c r="J2616" s="3" t="str">
        <f>HYPERLINK("https://www.boe.es/gazeta/dias/1818/08/11/pdfs/GMD-1818-96.pdf#page=12","Abrir facsímil")</f>
        <v>Abrir facsímil</v>
      </c>
      <c r="K2616" s="3" t="s">
        <v>38</v>
      </c>
    </row>
    <row r="2617" spans="1:11" ht="42" customHeight="1">
      <c r="A2617" s="2" t="s">
        <v>6233</v>
      </c>
      <c r="B2617" s="2" t="s">
        <v>6233</v>
      </c>
      <c r="C2617" s="2" t="s">
        <v>26</v>
      </c>
      <c r="D2617" s="2" t="s">
        <v>27</v>
      </c>
      <c r="E2617" s="5">
        <v>-29726</v>
      </c>
      <c r="F2617" s="3" t="s">
        <v>70</v>
      </c>
      <c r="G2617" s="3" t="s">
        <v>106</v>
      </c>
      <c r="H2617" s="2" t="s">
        <v>36</v>
      </c>
      <c r="I2617" s="2" t="s">
        <v>6245</v>
      </c>
      <c r="J2617" s="3" t="str">
        <f>HYPERLINK("https://www.boe.es/gazeta/dias/1818/08/11/pdfs/GMD-1818-96.pdf#page=5","Abrir facsímil")</f>
        <v>Abrir facsímil</v>
      </c>
      <c r="K2617" s="3" t="s">
        <v>38</v>
      </c>
    </row>
    <row r="2618" spans="1:11" ht="42" customHeight="1">
      <c r="A2618" s="2" t="s">
        <v>6233</v>
      </c>
      <c r="B2618" s="2" t="s">
        <v>6233</v>
      </c>
      <c r="C2618" s="2" t="s">
        <v>63</v>
      </c>
      <c r="D2618" s="2" t="s">
        <v>18</v>
      </c>
      <c r="E2618" s="5">
        <v>-29719</v>
      </c>
      <c r="F2618" s="3" t="s">
        <v>243</v>
      </c>
      <c r="G2618" s="3" t="s">
        <v>2921</v>
      </c>
      <c r="H2618" s="2" t="s">
        <v>36</v>
      </c>
      <c r="I2618" s="2" t="s">
        <v>6246</v>
      </c>
      <c r="J2618" s="3" t="str">
        <f>HYPERLINK("https://www.boe.es/gazeta/dias/1818/08/18/pdfs/GMD-1818-99.pdf#page=12","Abrir facsímil")</f>
        <v>Abrir facsímil</v>
      </c>
      <c r="K2618" s="3" t="s">
        <v>38</v>
      </c>
    </row>
    <row r="2619" spans="1:11" ht="42" customHeight="1">
      <c r="A2619" s="2" t="s">
        <v>6233</v>
      </c>
      <c r="B2619" s="2" t="s">
        <v>6233</v>
      </c>
      <c r="C2619" s="2" t="s">
        <v>63</v>
      </c>
      <c r="D2619" s="2" t="s">
        <v>18</v>
      </c>
      <c r="E2619" s="5">
        <v>-29691</v>
      </c>
      <c r="F2619" s="3" t="s">
        <v>144</v>
      </c>
      <c r="G2619" s="3" t="s">
        <v>45</v>
      </c>
      <c r="H2619" s="2" t="s">
        <v>36</v>
      </c>
      <c r="I2619" s="2" t="s">
        <v>6247</v>
      </c>
      <c r="J2619" s="3" t="str">
        <f>HYPERLINK("https://www.boe.es/gazeta/dias/1818/09/15/pdfs/GMD-1818-111.pdf#page=8","Abrir facsímil")</f>
        <v>Abrir facsímil</v>
      </c>
      <c r="K2619" s="3" t="s">
        <v>38</v>
      </c>
    </row>
    <row r="2620" spans="1:11" ht="42" customHeight="1">
      <c r="A2620" s="2" t="s">
        <v>6233</v>
      </c>
      <c r="B2620" s="2" t="s">
        <v>6233</v>
      </c>
      <c r="C2620" s="2" t="s">
        <v>68</v>
      </c>
      <c r="D2620" s="2" t="s">
        <v>69</v>
      </c>
      <c r="E2620" s="5">
        <v>-29656</v>
      </c>
      <c r="F2620" s="3" t="s">
        <v>601</v>
      </c>
      <c r="G2620" s="3" t="s">
        <v>45</v>
      </c>
      <c r="H2620" s="2" t="s">
        <v>36</v>
      </c>
      <c r="I2620" s="2" t="s">
        <v>6248</v>
      </c>
      <c r="J2620" s="3" t="str">
        <f>HYPERLINK("https://www.boe.es/gazeta/dias/1818/10/20/pdfs/GMD-1818-127.pdf#page=8","Abrir facsímil")</f>
        <v>Abrir facsímil</v>
      </c>
      <c r="K2620" s="3" t="s">
        <v>38</v>
      </c>
    </row>
    <row r="2621" spans="1:11" ht="42" customHeight="1">
      <c r="A2621" s="2" t="s">
        <v>6233</v>
      </c>
      <c r="B2621" s="2" t="s">
        <v>6233</v>
      </c>
      <c r="C2621" s="2" t="s">
        <v>17</v>
      </c>
      <c r="D2621" s="2" t="s">
        <v>18</v>
      </c>
      <c r="E2621" s="5">
        <v>-29654</v>
      </c>
      <c r="F2621" s="3" t="s">
        <v>219</v>
      </c>
      <c r="G2621" s="3" t="s">
        <v>873</v>
      </c>
      <c r="H2621" s="2" t="s">
        <v>36</v>
      </c>
      <c r="I2621" s="2" t="s">
        <v>6249</v>
      </c>
      <c r="J2621" s="3" t="str">
        <f>HYPERLINK("https://www.boe.es/gazeta/dias/1818/10/22/pdfs/GMD-1818-128.pdf#page=5","Abrir facsímil")</f>
        <v>Abrir facsímil</v>
      </c>
      <c r="K2621" s="3" t="s">
        <v>38</v>
      </c>
    </row>
    <row r="2622" spans="1:11" ht="42" customHeight="1">
      <c r="A2622" s="2" t="s">
        <v>6233</v>
      </c>
      <c r="B2622" s="2" t="s">
        <v>6233</v>
      </c>
      <c r="C2622" s="2" t="s">
        <v>26</v>
      </c>
      <c r="D2622" s="2" t="s">
        <v>27</v>
      </c>
      <c r="E2622" s="5">
        <v>-29624</v>
      </c>
      <c r="F2622" s="3" t="s">
        <v>131</v>
      </c>
      <c r="G2622" s="3" t="s">
        <v>106</v>
      </c>
      <c r="H2622" s="2" t="s">
        <v>36</v>
      </c>
      <c r="I2622" s="2" t="s">
        <v>6250</v>
      </c>
      <c r="J2622" s="3" t="str">
        <f>HYPERLINK("https://www.boe.es/gazeta/dias/1818/11/21/pdfs/GMD-1818-141.pdf#page=5","Abrir facsímil")</f>
        <v>Abrir facsímil</v>
      </c>
      <c r="K2622" s="3" t="s">
        <v>38</v>
      </c>
    </row>
    <row r="2623" spans="1:11" ht="42" customHeight="1">
      <c r="A2623" s="2" t="s">
        <v>6233</v>
      </c>
      <c r="B2623" s="2" t="s">
        <v>6233</v>
      </c>
      <c r="C2623" s="2" t="s">
        <v>17</v>
      </c>
      <c r="D2623" s="2" t="s">
        <v>18</v>
      </c>
      <c r="E2623" s="5">
        <v>-29624</v>
      </c>
      <c r="F2623" s="3" t="s">
        <v>131</v>
      </c>
      <c r="G2623" s="3" t="s">
        <v>20</v>
      </c>
      <c r="H2623" s="2" t="s">
        <v>36</v>
      </c>
      <c r="I2623" s="2" t="s">
        <v>6251</v>
      </c>
      <c r="J2623" s="3" t="str">
        <f>HYPERLINK("https://www.boe.es/gazeta/dias/1818/11/21/pdfs/GMD-1818-141.pdf#page=7","Abrir facsímil")</f>
        <v>Abrir facsímil</v>
      </c>
      <c r="K2623" s="3" t="s">
        <v>38</v>
      </c>
    </row>
    <row r="2624" spans="1:11" ht="42" customHeight="1">
      <c r="A2624" s="2" t="s">
        <v>6233</v>
      </c>
      <c r="B2624" s="2" t="s">
        <v>6233</v>
      </c>
      <c r="C2624" s="2" t="s">
        <v>63</v>
      </c>
      <c r="D2624" s="2" t="s">
        <v>18</v>
      </c>
      <c r="E2624" s="5">
        <v>-29614</v>
      </c>
      <c r="F2624" s="3" t="s">
        <v>620</v>
      </c>
      <c r="G2624" s="3" t="s">
        <v>45</v>
      </c>
      <c r="H2624" s="2" t="s">
        <v>36</v>
      </c>
      <c r="I2624" s="2" t="s">
        <v>6252</v>
      </c>
      <c r="J2624" s="3" t="str">
        <f>HYPERLINK("https://www.boe.es/gazeta/dias/1818/12/01/pdfs/GMD-1818-145.pdf#page=8","Abrir facsímil")</f>
        <v>Abrir facsímil</v>
      </c>
      <c r="K2624" s="3" t="s">
        <v>38</v>
      </c>
    </row>
    <row r="2625" spans="1:11" ht="42" customHeight="1">
      <c r="A2625" s="2" t="s">
        <v>6233</v>
      </c>
      <c r="B2625" s="2" t="s">
        <v>6233</v>
      </c>
      <c r="C2625" s="2" t="s">
        <v>97</v>
      </c>
      <c r="D2625" s="2" t="s">
        <v>18</v>
      </c>
      <c r="E2625" s="5">
        <v>-29607</v>
      </c>
      <c r="F2625" s="3" t="s">
        <v>704</v>
      </c>
      <c r="G2625" s="3" t="s">
        <v>2289</v>
      </c>
      <c r="H2625" s="2" t="s">
        <v>36</v>
      </c>
      <c r="I2625" s="2" t="s">
        <v>6253</v>
      </c>
      <c r="J2625" s="3" t="str">
        <f>HYPERLINK("https://www.boe.es/gazeta/dias/1818/12/08/pdfs/GMD-1818-148.pdf#page=8","Abrir facsímil")</f>
        <v>Abrir facsímil</v>
      </c>
      <c r="K2625" s="3" t="s">
        <v>38</v>
      </c>
    </row>
    <row r="2626" spans="1:11" ht="42" customHeight="1">
      <c r="A2626" s="2" t="s">
        <v>6254</v>
      </c>
      <c r="B2626" s="2" t="s">
        <v>6254</v>
      </c>
      <c r="C2626" s="2" t="s">
        <v>26</v>
      </c>
      <c r="D2626" s="2" t="s">
        <v>27</v>
      </c>
      <c r="E2626" s="5">
        <v>-29750</v>
      </c>
      <c r="F2626" s="3" t="s">
        <v>384</v>
      </c>
      <c r="G2626" s="3" t="s">
        <v>111</v>
      </c>
      <c r="H2626" s="2" t="s">
        <v>36</v>
      </c>
      <c r="I2626" s="2" t="s">
        <v>6255</v>
      </c>
      <c r="J2626" s="3" t="str">
        <f>HYPERLINK("https://www.boe.es/gazeta/dias/1818/07/18/pdfs/GMD-1818-86.pdf#page=11","Abrir facsímil")</f>
        <v>Abrir facsímil</v>
      </c>
      <c r="K2626" s="3" t="s">
        <v>38</v>
      </c>
    </row>
    <row r="2627" spans="1:11" ht="42" customHeight="1">
      <c r="A2627" s="2" t="s">
        <v>6256</v>
      </c>
      <c r="B2627" s="2" t="s">
        <v>6257</v>
      </c>
      <c r="C2627" s="2" t="s">
        <v>57</v>
      </c>
      <c r="D2627" s="2" t="s">
        <v>18</v>
      </c>
      <c r="E2627" s="5">
        <v>-29850</v>
      </c>
      <c r="F2627" s="3" t="s">
        <v>1051</v>
      </c>
      <c r="G2627" s="3" t="s">
        <v>106</v>
      </c>
      <c r="H2627" s="2" t="s">
        <v>36</v>
      </c>
      <c r="I2627" s="2" t="s">
        <v>6258</v>
      </c>
      <c r="J2627" s="3" t="str">
        <f>HYPERLINK("https://www.boe.es/gazeta/dias/1818/04/09/pdfs/GMD-1818-43.pdf#page=5","Abrir facsímil")</f>
        <v>Abrir facsímil</v>
      </c>
      <c r="K2627" s="3" t="s">
        <v>38</v>
      </c>
    </row>
    <row r="2628" spans="1:11" ht="42" customHeight="1">
      <c r="A2628" s="2" t="s">
        <v>6259</v>
      </c>
      <c r="B2628" s="2" t="s">
        <v>6259</v>
      </c>
      <c r="C2628" s="2" t="s">
        <v>26</v>
      </c>
      <c r="D2628" s="2" t="s">
        <v>27</v>
      </c>
      <c r="E2628" s="5">
        <v>-29708</v>
      </c>
      <c r="F2628" s="3" t="s">
        <v>413</v>
      </c>
      <c r="G2628" s="3" t="s">
        <v>106</v>
      </c>
      <c r="H2628" s="2" t="s">
        <v>36</v>
      </c>
      <c r="I2628" s="2" t="s">
        <v>6260</v>
      </c>
      <c r="J2628" s="3" t="str">
        <f>HYPERLINK("https://www.boe.es/gazeta/dias/1818/08/29/pdfs/GMD-1818-104.pdf#page=5","Abrir facsímil")</f>
        <v>Abrir facsímil</v>
      </c>
      <c r="K2628" s="3" t="s">
        <v>38</v>
      </c>
    </row>
    <row r="2629" spans="1:11" ht="42" customHeight="1">
      <c r="A2629" s="2" t="s">
        <v>6261</v>
      </c>
      <c r="B2629" s="2" t="s">
        <v>6261</v>
      </c>
      <c r="C2629" s="2" t="s">
        <v>26</v>
      </c>
      <c r="D2629" s="2" t="s">
        <v>27</v>
      </c>
      <c r="E2629" s="5">
        <v>-29862</v>
      </c>
      <c r="F2629" s="3" t="s">
        <v>925</v>
      </c>
      <c r="G2629" s="3" t="s">
        <v>106</v>
      </c>
      <c r="H2629" s="2" t="s">
        <v>36</v>
      </c>
      <c r="I2629" s="2" t="s">
        <v>6262</v>
      </c>
      <c r="J2629" s="3" t="str">
        <f>HYPERLINK("https://www.boe.es/gazeta/dias/1818/03/28/pdfs/GMD-1818-38.pdf#page=5","Abrir facsímil")</f>
        <v>Abrir facsímil</v>
      </c>
      <c r="K2629" s="3" t="s">
        <v>38</v>
      </c>
    </row>
    <row r="2630" spans="1:11" ht="42" customHeight="1">
      <c r="A2630" s="2" t="s">
        <v>6263</v>
      </c>
      <c r="B2630" s="2" t="s">
        <v>6263</v>
      </c>
      <c r="C2630" s="2" t="s">
        <v>17</v>
      </c>
      <c r="D2630" s="2" t="s">
        <v>18</v>
      </c>
      <c r="E2630" s="5">
        <v>-29640</v>
      </c>
      <c r="F2630" s="3" t="s">
        <v>75</v>
      </c>
      <c r="G2630" s="3" t="s">
        <v>331</v>
      </c>
      <c r="H2630" s="2" t="s">
        <v>36</v>
      </c>
      <c r="I2630" s="2" t="s">
        <v>6264</v>
      </c>
      <c r="J2630" s="3" t="str">
        <f>HYPERLINK("https://www.boe.es/gazeta/dias/1818/11/05/pdfs/GMD-1818-134.pdf#page=8","Abrir facsímil")</f>
        <v>Abrir facsímil</v>
      </c>
      <c r="K2630" s="3" t="s">
        <v>38</v>
      </c>
    </row>
    <row r="2631" spans="1:11" ht="42" customHeight="1">
      <c r="A2631" s="2" t="s">
        <v>6263</v>
      </c>
      <c r="B2631" s="2" t="s">
        <v>6263</v>
      </c>
      <c r="C2631" s="2" t="s">
        <v>17</v>
      </c>
      <c r="D2631" s="2" t="s">
        <v>18</v>
      </c>
      <c r="E2631" s="5">
        <v>-29598</v>
      </c>
      <c r="F2631" s="3" t="s">
        <v>98</v>
      </c>
      <c r="G2631" s="3" t="s">
        <v>20</v>
      </c>
      <c r="H2631" s="2" t="s">
        <v>36</v>
      </c>
      <c r="I2631" s="2" t="s">
        <v>6265</v>
      </c>
      <c r="J2631" s="3" t="str">
        <f>HYPERLINK("https://www.boe.es/gazeta/dias/1818/12/17/pdfs/GMD-1818-152.pdf#page=7","Abrir facsímil")</f>
        <v>Abrir facsímil</v>
      </c>
      <c r="K2631" s="3" t="s">
        <v>38</v>
      </c>
    </row>
    <row r="2632" spans="1:11" ht="42" customHeight="1">
      <c r="A2632" s="2" t="s">
        <v>6266</v>
      </c>
      <c r="B2632" s="2" t="s">
        <v>6267</v>
      </c>
      <c r="C2632" s="2" t="s">
        <v>26</v>
      </c>
      <c r="D2632" s="2" t="s">
        <v>27</v>
      </c>
      <c r="E2632" s="5">
        <v>-29934</v>
      </c>
      <c r="F2632" s="3" t="s">
        <v>53</v>
      </c>
      <c r="G2632" s="3" t="s">
        <v>2001</v>
      </c>
      <c r="H2632" s="2" t="s">
        <v>36</v>
      </c>
      <c r="I2632" s="2" t="s">
        <v>6268</v>
      </c>
      <c r="J2632" s="3" t="str">
        <f>HYPERLINK("https://www.boe.es/gazeta/dias/1818/01/15/pdfs/GMD-1818-7.pdf#page=4","Abrir facsímil")</f>
        <v>Abrir facsímil</v>
      </c>
      <c r="K2632" s="3" t="s">
        <v>38</v>
      </c>
    </row>
    <row r="2633" spans="1:11" ht="42" customHeight="1">
      <c r="A2633" s="2" t="s">
        <v>6269</v>
      </c>
      <c r="B2633" s="2" t="s">
        <v>6270</v>
      </c>
      <c r="C2633" s="2" t="s">
        <v>26</v>
      </c>
      <c r="D2633" s="2" t="s">
        <v>27</v>
      </c>
      <c r="E2633" s="5">
        <v>-29831</v>
      </c>
      <c r="F2633" s="3" t="s">
        <v>567</v>
      </c>
      <c r="G2633" s="3" t="s">
        <v>45</v>
      </c>
      <c r="H2633" s="2" t="s">
        <v>36</v>
      </c>
      <c r="I2633" s="2" t="s">
        <v>6271</v>
      </c>
      <c r="J2633" s="3" t="str">
        <f>HYPERLINK("https://www.boe.es/gazeta/dias/1818/04/28/pdfs/GMD-1818-51.pdf#page=8","Abrir facsímil")</f>
        <v>Abrir facsímil</v>
      </c>
      <c r="K2633" s="3" t="s">
        <v>38</v>
      </c>
    </row>
    <row r="2634" spans="1:11" ht="42" customHeight="1">
      <c r="A2634" s="2" t="s">
        <v>6272</v>
      </c>
      <c r="B2634" s="2" t="s">
        <v>6273</v>
      </c>
      <c r="C2634" s="2" t="s">
        <v>26</v>
      </c>
      <c r="D2634" s="2" t="s">
        <v>27</v>
      </c>
      <c r="E2634" s="5">
        <v>-29890</v>
      </c>
      <c r="F2634" s="3" t="s">
        <v>393</v>
      </c>
      <c r="G2634" s="3" t="s">
        <v>4435</v>
      </c>
      <c r="H2634" s="2" t="s">
        <v>36</v>
      </c>
      <c r="I2634" s="2" t="s">
        <v>6274</v>
      </c>
      <c r="J2634" s="3" t="str">
        <f>HYPERLINK("https://www.boe.es/gazeta/dias/1818/02/28/pdfs/GMD-1818-26.pdf#page=4","Abrir facsímil")</f>
        <v>Abrir facsímil</v>
      </c>
      <c r="K2634" s="3" t="s">
        <v>38</v>
      </c>
    </row>
    <row r="2635" spans="1:11" ht="42" customHeight="1">
      <c r="A2635" s="2" t="s">
        <v>6275</v>
      </c>
      <c r="B2635" s="2" t="s">
        <v>6276</v>
      </c>
      <c r="C2635" s="2" t="s">
        <v>17</v>
      </c>
      <c r="D2635" s="2" t="s">
        <v>18</v>
      </c>
      <c r="E2635" s="5">
        <v>-29715</v>
      </c>
      <c r="F2635" s="3" t="s">
        <v>208</v>
      </c>
      <c r="G2635" s="3" t="s">
        <v>106</v>
      </c>
      <c r="H2635" s="2" t="s">
        <v>36</v>
      </c>
      <c r="I2635" s="2" t="s">
        <v>6277</v>
      </c>
      <c r="J2635" s="3" t="str">
        <f>HYPERLINK("https://www.boe.es/gazeta/dias/1818/08/22/pdfs/GMD-1818-101.pdf#page=5","Abrir facsímil")</f>
        <v>Abrir facsímil</v>
      </c>
      <c r="K2635" s="3" t="s">
        <v>38</v>
      </c>
    </row>
    <row r="2636" spans="1:11" ht="42" customHeight="1">
      <c r="A2636" s="2" t="s">
        <v>6278</v>
      </c>
      <c r="B2636" s="2" t="s">
        <v>6279</v>
      </c>
      <c r="C2636" s="2" t="s">
        <v>26</v>
      </c>
      <c r="D2636" s="2" t="s">
        <v>27</v>
      </c>
      <c r="E2636" s="5">
        <v>-29682</v>
      </c>
      <c r="F2636" s="3" t="s">
        <v>170</v>
      </c>
      <c r="G2636" s="3" t="s">
        <v>106</v>
      </c>
      <c r="H2636" s="2" t="s">
        <v>36</v>
      </c>
      <c r="I2636" s="2" t="s">
        <v>6280</v>
      </c>
      <c r="J2636" s="3" t="str">
        <f>HYPERLINK("https://www.boe.es/gazeta/dias/1818/09/24/pdfs/GMD-1818-115.pdf#page=5","Abrir facsímil")</f>
        <v>Abrir facsímil</v>
      </c>
      <c r="K2636" s="3" t="s">
        <v>38</v>
      </c>
    </row>
    <row r="2637" spans="1:11" ht="42" customHeight="1">
      <c r="A2637" s="2" t="s">
        <v>6281</v>
      </c>
      <c r="B2637" s="2" t="s">
        <v>6282</v>
      </c>
      <c r="C2637" s="2" t="s">
        <v>33</v>
      </c>
      <c r="D2637" s="2" t="s">
        <v>18</v>
      </c>
      <c r="E2637" s="5">
        <v>-29761</v>
      </c>
      <c r="F2637" s="3" t="s">
        <v>168</v>
      </c>
      <c r="G2637" s="3" t="s">
        <v>106</v>
      </c>
      <c r="H2637" s="2" t="s">
        <v>36</v>
      </c>
      <c r="I2637" s="2" t="s">
        <v>6283</v>
      </c>
      <c r="J2637" s="3" t="str">
        <f>HYPERLINK("https://www.boe.es/gazeta/dias/1818/07/07/pdfs/GMD-1818-81.pdf#page=5","Abrir facsímil")</f>
        <v>Abrir facsímil</v>
      </c>
      <c r="K2637" s="3" t="s">
        <v>38</v>
      </c>
    </row>
    <row r="2638" spans="1:11" ht="42" customHeight="1">
      <c r="A2638" s="2" t="s">
        <v>6284</v>
      </c>
      <c r="B2638" s="2" t="s">
        <v>6284</v>
      </c>
      <c r="C2638" s="2" t="s">
        <v>68</v>
      </c>
      <c r="D2638" s="2" t="s">
        <v>69</v>
      </c>
      <c r="E2638" s="5">
        <v>-29726</v>
      </c>
      <c r="F2638" s="3" t="s">
        <v>70</v>
      </c>
      <c r="G2638" s="3" t="s">
        <v>120</v>
      </c>
      <c r="H2638" s="2" t="s">
        <v>36</v>
      </c>
      <c r="I2638" s="2" t="s">
        <v>6285</v>
      </c>
      <c r="J2638" s="3" t="str">
        <f>HYPERLINK("https://www.boe.es/gazeta/dias/1818/08/11/pdfs/GMD-1818-96.pdf#page=2","Abrir facsímil")</f>
        <v>Abrir facsímil</v>
      </c>
      <c r="K2638" s="3" t="s">
        <v>38</v>
      </c>
    </row>
    <row r="2639" spans="1:11" ht="42" customHeight="1">
      <c r="A2639" s="2" t="s">
        <v>6286</v>
      </c>
      <c r="B2639" s="2" t="s">
        <v>6287</v>
      </c>
      <c r="C2639" s="2" t="s">
        <v>26</v>
      </c>
      <c r="D2639" s="2" t="s">
        <v>27</v>
      </c>
      <c r="E2639" s="5">
        <v>-29850</v>
      </c>
      <c r="F2639" s="3" t="s">
        <v>1051</v>
      </c>
      <c r="G2639" s="3" t="s">
        <v>29</v>
      </c>
      <c r="H2639" s="2" t="s">
        <v>36</v>
      </c>
      <c r="I2639" s="2" t="s">
        <v>6288</v>
      </c>
      <c r="J2639" s="3" t="str">
        <f>HYPERLINK("https://www.boe.es/gazeta/dias/1818/04/09/pdfs/GMD-1818-43.pdf#page=4","Abrir facsímil")</f>
        <v>Abrir facsímil</v>
      </c>
      <c r="K2639" s="3" t="s">
        <v>38</v>
      </c>
    </row>
    <row r="2640" spans="1:11" ht="42" customHeight="1">
      <c r="A2640" s="2" t="s">
        <v>6289</v>
      </c>
      <c r="B2640" s="2" t="s">
        <v>6289</v>
      </c>
      <c r="C2640" s="2" t="s">
        <v>68</v>
      </c>
      <c r="D2640" s="2" t="s">
        <v>69</v>
      </c>
      <c r="E2640" s="5">
        <v>-29738</v>
      </c>
      <c r="F2640" s="3" t="s">
        <v>263</v>
      </c>
      <c r="G2640" s="3" t="s">
        <v>71</v>
      </c>
      <c r="H2640" s="2" t="s">
        <v>36</v>
      </c>
      <c r="I2640" s="2" t="s">
        <v>6290</v>
      </c>
      <c r="J2640" s="3" t="str">
        <f>HYPERLINK("https://www.boe.es/gazeta/dias/1818/07/30/pdfs/GMD-1818-91.pdf#page=16","Abrir facsímil")</f>
        <v>Abrir facsímil</v>
      </c>
      <c r="K2640" s="3" t="s">
        <v>38</v>
      </c>
    </row>
    <row r="2641" spans="1:11" ht="42" customHeight="1">
      <c r="A2641" s="2" t="s">
        <v>6291</v>
      </c>
      <c r="B2641" s="2" t="s">
        <v>6292</v>
      </c>
      <c r="C2641" s="2" t="s">
        <v>17</v>
      </c>
      <c r="D2641" s="2" t="s">
        <v>18</v>
      </c>
      <c r="E2641" s="5">
        <v>-29824</v>
      </c>
      <c r="F2641" s="3" t="s">
        <v>101</v>
      </c>
      <c r="G2641" s="3" t="s">
        <v>20</v>
      </c>
      <c r="H2641" s="2" t="s">
        <v>36</v>
      </c>
      <c r="I2641" s="2" t="s">
        <v>6293</v>
      </c>
      <c r="J2641" s="3" t="str">
        <f>HYPERLINK("https://www.boe.es/gazeta/dias/1818/05/05/pdfs/GMD-1818-54.pdf#page=7","Abrir facsímil")</f>
        <v>Abrir facsímil</v>
      </c>
      <c r="K2641" s="3" t="s">
        <v>38</v>
      </c>
    </row>
    <row r="2642" spans="1:11" ht="42" customHeight="1">
      <c r="A2642" s="2" t="s">
        <v>6294</v>
      </c>
      <c r="B2642" s="2" t="s">
        <v>6294</v>
      </c>
      <c r="C2642" s="2" t="s">
        <v>26</v>
      </c>
      <c r="D2642" s="2" t="s">
        <v>27</v>
      </c>
      <c r="E2642" s="5">
        <v>-29726</v>
      </c>
      <c r="F2642" s="3" t="s">
        <v>70</v>
      </c>
      <c r="G2642" s="3" t="s">
        <v>29</v>
      </c>
      <c r="H2642" s="2" t="s">
        <v>36</v>
      </c>
      <c r="I2642" s="2" t="s">
        <v>6295</v>
      </c>
      <c r="J2642" s="3" t="str">
        <f>HYPERLINK("https://www.boe.es/gazeta/dias/1818/08/11/pdfs/GMD-1818-96.pdf#page=4","Abrir facsímil")</f>
        <v>Abrir facsímil</v>
      </c>
      <c r="K2642" s="3" t="s">
        <v>38</v>
      </c>
    </row>
    <row r="2643" spans="1:11" ht="42" customHeight="1">
      <c r="A2643" s="2" t="s">
        <v>6296</v>
      </c>
      <c r="B2643" s="2" t="s">
        <v>6296</v>
      </c>
      <c r="C2643" s="2" t="s">
        <v>17</v>
      </c>
      <c r="D2643" s="2" t="s">
        <v>18</v>
      </c>
      <c r="E2643" s="5">
        <v>-29829</v>
      </c>
      <c r="F2643" s="3" t="s">
        <v>44</v>
      </c>
      <c r="G2643" s="3" t="s">
        <v>45</v>
      </c>
      <c r="H2643" s="2" t="s">
        <v>36</v>
      </c>
      <c r="I2643" s="2" t="s">
        <v>6297</v>
      </c>
      <c r="J2643" s="3" t="str">
        <f>HYPERLINK("https://www.boe.es/gazeta/dias/1818/04/30/pdfs/GMD-1818-52.pdf#page=8","Abrir facsímil")</f>
        <v>Abrir facsímil</v>
      </c>
      <c r="K2643" s="3" t="s">
        <v>38</v>
      </c>
    </row>
    <row r="2644" spans="1:11" ht="42" customHeight="1">
      <c r="A2644" s="2" t="s">
        <v>6298</v>
      </c>
      <c r="B2644" s="2" t="s">
        <v>6298</v>
      </c>
      <c r="C2644" s="2" t="s">
        <v>215</v>
      </c>
      <c r="D2644" s="2" t="s">
        <v>18</v>
      </c>
      <c r="E2644" s="5">
        <v>-29943</v>
      </c>
      <c r="F2644" s="3" t="s">
        <v>1837</v>
      </c>
      <c r="G2644" s="3" t="s">
        <v>106</v>
      </c>
      <c r="H2644" s="2" t="s">
        <v>36</v>
      </c>
      <c r="I2644" s="2" t="s">
        <v>6299</v>
      </c>
      <c r="J2644" s="3" t="str">
        <f>HYPERLINK("https://www.boe.es/gazeta/dias/1818/01/06/pdfs/GMD-1818-3.pdf#page=5","Abrir facsímil")</f>
        <v>Abrir facsímil</v>
      </c>
      <c r="K2644" s="3" t="s">
        <v>38</v>
      </c>
    </row>
    <row r="2645" spans="1:11" ht="42" customHeight="1">
      <c r="A2645" s="2" t="s">
        <v>6298</v>
      </c>
      <c r="B2645" s="2" t="s">
        <v>6298</v>
      </c>
      <c r="C2645" s="2" t="s">
        <v>17</v>
      </c>
      <c r="D2645" s="2" t="s">
        <v>18</v>
      </c>
      <c r="E2645" s="5">
        <v>-29941</v>
      </c>
      <c r="F2645" s="3" t="s">
        <v>2259</v>
      </c>
      <c r="G2645" s="3" t="s">
        <v>29</v>
      </c>
      <c r="H2645" s="2" t="s">
        <v>36</v>
      </c>
      <c r="I2645" s="2" t="s">
        <v>6300</v>
      </c>
      <c r="J2645" s="3" t="str">
        <f>HYPERLINK("https://www.boe.es/gazeta/dias/1818/01/08/pdfs/GMD-1818-4.pdf#page=4","Abrir facsímil")</f>
        <v>Abrir facsímil</v>
      </c>
      <c r="K2645" s="3" t="s">
        <v>38</v>
      </c>
    </row>
    <row r="2646" spans="1:11" ht="42" customHeight="1">
      <c r="A2646" s="2" t="s">
        <v>6298</v>
      </c>
      <c r="B2646" s="2" t="s">
        <v>6298</v>
      </c>
      <c r="C2646" s="2" t="s">
        <v>26</v>
      </c>
      <c r="D2646" s="2" t="s">
        <v>27</v>
      </c>
      <c r="E2646" s="5">
        <v>-29932</v>
      </c>
      <c r="F2646" s="3" t="s">
        <v>34</v>
      </c>
      <c r="G2646" s="3" t="s">
        <v>106</v>
      </c>
      <c r="H2646" s="2" t="s">
        <v>36</v>
      </c>
      <c r="I2646" s="2" t="s">
        <v>6301</v>
      </c>
      <c r="J2646" s="3" t="str">
        <f>HYPERLINK("https://www.boe.es/gazeta/dias/1818/01/17/pdfs/GMD-1818-8.pdf#page=5","Abrir facsímil")</f>
        <v>Abrir facsímil</v>
      </c>
      <c r="K2646" s="3" t="s">
        <v>38</v>
      </c>
    </row>
    <row r="2647" spans="1:11" ht="42" customHeight="1">
      <c r="A2647" s="2" t="s">
        <v>6298</v>
      </c>
      <c r="B2647" s="2" t="s">
        <v>6298</v>
      </c>
      <c r="C2647" s="2" t="s">
        <v>63</v>
      </c>
      <c r="D2647" s="2" t="s">
        <v>18</v>
      </c>
      <c r="E2647" s="5">
        <v>-29925</v>
      </c>
      <c r="F2647" s="3" t="s">
        <v>447</v>
      </c>
      <c r="G2647" s="3" t="s">
        <v>45</v>
      </c>
      <c r="H2647" s="2" t="s">
        <v>36</v>
      </c>
      <c r="I2647" s="2" t="s">
        <v>6302</v>
      </c>
      <c r="J2647" s="3" t="str">
        <f>HYPERLINK("https://www.boe.es/gazeta/dias/1818/01/24/pdfs/GMD-1818-11.pdf#page=8","Abrir facsímil")</f>
        <v>Abrir facsímil</v>
      </c>
      <c r="K2647" s="3" t="s">
        <v>38</v>
      </c>
    </row>
    <row r="2648" spans="1:11" ht="42" customHeight="1">
      <c r="A2648" s="2" t="s">
        <v>6298</v>
      </c>
      <c r="B2648" s="2" t="s">
        <v>6298</v>
      </c>
      <c r="C2648" s="2" t="s">
        <v>33</v>
      </c>
      <c r="D2648" s="2" t="s">
        <v>18</v>
      </c>
      <c r="E2648" s="5">
        <v>-29904</v>
      </c>
      <c r="F2648" s="3" t="s">
        <v>451</v>
      </c>
      <c r="G2648" s="3" t="s">
        <v>45</v>
      </c>
      <c r="H2648" s="2" t="s">
        <v>36</v>
      </c>
      <c r="I2648" s="2" t="s">
        <v>6303</v>
      </c>
      <c r="J2648" s="3" t="str">
        <f>HYPERLINK("https://www.boe.es/gazeta/dias/1818/02/14/pdfs/GMD-1818-20.pdf#page=8","Abrir facsímil")</f>
        <v>Abrir facsímil</v>
      </c>
      <c r="K2648" s="3" t="s">
        <v>38</v>
      </c>
    </row>
    <row r="2649" spans="1:11" ht="42" customHeight="1">
      <c r="A2649" s="2" t="s">
        <v>6298</v>
      </c>
      <c r="B2649" s="2" t="s">
        <v>6298</v>
      </c>
      <c r="C2649" s="2" t="s">
        <v>17</v>
      </c>
      <c r="D2649" s="2" t="s">
        <v>18</v>
      </c>
      <c r="E2649" s="5">
        <v>-29901</v>
      </c>
      <c r="F2649" s="3" t="s">
        <v>417</v>
      </c>
      <c r="G2649" s="3" t="s">
        <v>49</v>
      </c>
      <c r="H2649" s="2" t="s">
        <v>36</v>
      </c>
      <c r="I2649" s="2" t="s">
        <v>6304</v>
      </c>
      <c r="J2649" s="3" t="str">
        <f>HYPERLINK("https://www.boe.es/gazeta/dias/1818/02/17/pdfs/GMD-1818-21.pdf#page=1","Abrir facsímil")</f>
        <v>Abrir facsímil</v>
      </c>
      <c r="K2649" s="3" t="s">
        <v>38</v>
      </c>
    </row>
    <row r="2650" spans="1:11" ht="42" customHeight="1">
      <c r="A2650" s="2" t="s">
        <v>6298</v>
      </c>
      <c r="B2650" s="2" t="s">
        <v>6298</v>
      </c>
      <c r="C2650" s="2" t="s">
        <v>68</v>
      </c>
      <c r="D2650" s="2" t="s">
        <v>69</v>
      </c>
      <c r="E2650" s="5">
        <v>-29841</v>
      </c>
      <c r="F2650" s="3" t="s">
        <v>19</v>
      </c>
      <c r="G2650" s="3" t="s">
        <v>45</v>
      </c>
      <c r="H2650" s="2" t="s">
        <v>36</v>
      </c>
      <c r="I2650" s="2" t="s">
        <v>6305</v>
      </c>
      <c r="J2650" s="3" t="str">
        <f>HYPERLINK("https://www.boe.es/gazeta/dias/1818/04/18/pdfs/GMD-1818-47.pdf#page=8","Abrir facsímil")</f>
        <v>Abrir facsímil</v>
      </c>
      <c r="K2650" s="3" t="s">
        <v>38</v>
      </c>
    </row>
    <row r="2651" spans="1:11" ht="42" customHeight="1">
      <c r="A2651" s="2" t="s">
        <v>6298</v>
      </c>
      <c r="B2651" s="2" t="s">
        <v>6298</v>
      </c>
      <c r="C2651" s="2" t="s">
        <v>68</v>
      </c>
      <c r="D2651" s="2" t="s">
        <v>69</v>
      </c>
      <c r="E2651" s="5">
        <v>-29799</v>
      </c>
      <c r="F2651" s="3" t="s">
        <v>135</v>
      </c>
      <c r="G2651" s="3" t="s">
        <v>45</v>
      </c>
      <c r="H2651" s="2" t="s">
        <v>36</v>
      </c>
      <c r="I2651" s="2" t="s">
        <v>6306</v>
      </c>
      <c r="J2651" s="3" t="str">
        <f>HYPERLINK("https://www.boe.es/gazeta/dias/1818/05/30/pdfs/GMD-1818-65.pdf#page=8","Abrir facsímil")</f>
        <v>Abrir facsímil</v>
      </c>
      <c r="K2651" s="3" t="s">
        <v>38</v>
      </c>
    </row>
    <row r="2652" spans="1:11" ht="42" customHeight="1">
      <c r="A2652" s="2" t="s">
        <v>6298</v>
      </c>
      <c r="B2652" s="2" t="s">
        <v>6298</v>
      </c>
      <c r="C2652" s="2" t="s">
        <v>26</v>
      </c>
      <c r="D2652" s="2" t="s">
        <v>27</v>
      </c>
      <c r="E2652" s="5">
        <v>-29752</v>
      </c>
      <c r="F2652" s="3" t="s">
        <v>165</v>
      </c>
      <c r="G2652" s="3" t="s">
        <v>20</v>
      </c>
      <c r="H2652" s="2" t="s">
        <v>36</v>
      </c>
      <c r="I2652" s="2" t="s">
        <v>6307</v>
      </c>
      <c r="J2652" s="3" t="str">
        <f>HYPERLINK("https://www.boe.es/gazeta/dias/1818/07/16/pdfs/GMD-1818-85.pdf#page=7","Abrir facsímil")</f>
        <v>Abrir facsímil</v>
      </c>
      <c r="K2652" s="3" t="s">
        <v>38</v>
      </c>
    </row>
    <row r="2653" spans="1:11" ht="42" customHeight="1">
      <c r="A2653" s="2" t="s">
        <v>6298</v>
      </c>
      <c r="B2653" s="2" t="s">
        <v>6298</v>
      </c>
      <c r="C2653" s="2" t="s">
        <v>26</v>
      </c>
      <c r="D2653" s="2" t="s">
        <v>27</v>
      </c>
      <c r="E2653" s="5">
        <v>-29712</v>
      </c>
      <c r="F2653" s="3" t="s">
        <v>1309</v>
      </c>
      <c r="G2653" s="3" t="s">
        <v>20</v>
      </c>
      <c r="H2653" s="2" t="s">
        <v>36</v>
      </c>
      <c r="I2653" s="2" t="s">
        <v>6308</v>
      </c>
      <c r="J2653" s="3" t="str">
        <f>HYPERLINK("https://www.boe.es/gazeta/dias/1818/08/25/pdfs/GMD-1818-102.pdf#page=7","Abrir facsímil")</f>
        <v>Abrir facsímil</v>
      </c>
      <c r="K2653" s="3" t="s">
        <v>38</v>
      </c>
    </row>
    <row r="2654" spans="1:11" ht="42" customHeight="1">
      <c r="A2654" s="2" t="s">
        <v>6298</v>
      </c>
      <c r="B2654" s="2" t="s">
        <v>6298</v>
      </c>
      <c r="C2654" s="2" t="s">
        <v>68</v>
      </c>
      <c r="D2654" s="2" t="s">
        <v>69</v>
      </c>
      <c r="E2654" s="5">
        <v>-29684</v>
      </c>
      <c r="F2654" s="3" t="s">
        <v>311</v>
      </c>
      <c r="G2654" s="3" t="s">
        <v>45</v>
      </c>
      <c r="H2654" s="2" t="s">
        <v>36</v>
      </c>
      <c r="I2654" s="2" t="s">
        <v>6309</v>
      </c>
      <c r="J2654" s="3" t="str">
        <f>HYPERLINK("https://www.boe.es/gazeta/dias/1818/09/22/pdfs/GMD-1818-114.pdf#page=8","Abrir facsímil")</f>
        <v>Abrir facsímil</v>
      </c>
      <c r="K2654" s="3" t="s">
        <v>38</v>
      </c>
    </row>
    <row r="2655" spans="1:11" ht="42" customHeight="1">
      <c r="A2655" s="2" t="s">
        <v>6310</v>
      </c>
      <c r="B2655" s="2" t="s">
        <v>6311</v>
      </c>
      <c r="C2655" s="2" t="s">
        <v>26</v>
      </c>
      <c r="D2655" s="2" t="s">
        <v>27</v>
      </c>
      <c r="E2655" s="5">
        <v>-29614</v>
      </c>
      <c r="F2655" s="3" t="s">
        <v>620</v>
      </c>
      <c r="G2655" s="3" t="s">
        <v>106</v>
      </c>
      <c r="H2655" s="2" t="s">
        <v>36</v>
      </c>
      <c r="I2655" s="2" t="s">
        <v>6312</v>
      </c>
      <c r="J2655" s="3" t="str">
        <f>HYPERLINK("https://www.boe.es/gazeta/dias/1818/12/01/pdfs/GMD-1818-145.pdf#page=5","Abrir facsímil")</f>
        <v>Abrir facsímil</v>
      </c>
      <c r="K2655" s="3" t="s">
        <v>38</v>
      </c>
    </row>
    <row r="2656" spans="1:11" ht="42" customHeight="1">
      <c r="A2656" s="2" t="s">
        <v>6313</v>
      </c>
      <c r="B2656" s="2" t="s">
        <v>6314</v>
      </c>
      <c r="C2656" s="2" t="s">
        <v>26</v>
      </c>
      <c r="D2656" s="2" t="s">
        <v>27</v>
      </c>
      <c r="E2656" s="5">
        <v>-29843</v>
      </c>
      <c r="F2656" s="3" t="s">
        <v>182</v>
      </c>
      <c r="G2656" s="3" t="s">
        <v>20</v>
      </c>
      <c r="H2656" s="2" t="s">
        <v>36</v>
      </c>
      <c r="I2656" s="2" t="s">
        <v>6315</v>
      </c>
      <c r="J2656" s="3" t="str">
        <f>HYPERLINK("https://www.boe.es/gazeta/dias/1818/04/16/pdfs/GMD-1818-46.pdf#page=7","Abrir facsímil")</f>
        <v>Abrir facsímil</v>
      </c>
      <c r="K2656" s="3" t="s">
        <v>38</v>
      </c>
    </row>
    <row r="2657" spans="1:11" ht="42" customHeight="1">
      <c r="A2657" s="2" t="s">
        <v>6316</v>
      </c>
      <c r="B2657" s="2" t="s">
        <v>6317</v>
      </c>
      <c r="C2657" s="2" t="s">
        <v>26</v>
      </c>
      <c r="D2657" s="2" t="s">
        <v>27</v>
      </c>
      <c r="E2657" s="5">
        <v>-29719</v>
      </c>
      <c r="F2657" s="3" t="s">
        <v>243</v>
      </c>
      <c r="G2657" s="3" t="s">
        <v>772</v>
      </c>
      <c r="H2657" s="2" t="s">
        <v>36</v>
      </c>
      <c r="I2657" s="2" t="s">
        <v>6318</v>
      </c>
      <c r="J2657" s="3" t="str">
        <f>HYPERLINK("https://www.boe.es/gazeta/dias/1818/08/18/pdfs/GMD-1818-99.pdf#page=10","Abrir facsímil")</f>
        <v>Abrir facsímil</v>
      </c>
      <c r="K2657" s="3" t="s">
        <v>38</v>
      </c>
    </row>
    <row r="2658" spans="1:11" ht="42" customHeight="1">
      <c r="A2658" s="2" t="s">
        <v>6319</v>
      </c>
      <c r="B2658" s="2" t="s">
        <v>6320</v>
      </c>
      <c r="C2658" s="2" t="s">
        <v>26</v>
      </c>
      <c r="D2658" s="2" t="s">
        <v>27</v>
      </c>
      <c r="E2658" s="5">
        <v>-29897</v>
      </c>
      <c r="F2658" s="3" t="s">
        <v>318</v>
      </c>
      <c r="G2658" s="3" t="s">
        <v>106</v>
      </c>
      <c r="H2658" s="2" t="s">
        <v>36</v>
      </c>
      <c r="I2658" s="2" t="s">
        <v>6321</v>
      </c>
      <c r="J2658" s="3" t="str">
        <f>HYPERLINK("https://www.boe.es/gazeta/dias/1818/02/21/pdfs/GMD-1818-23.pdf#page=5","Abrir facsímil")</f>
        <v>Abrir facsímil</v>
      </c>
      <c r="K2658" s="3" t="s">
        <v>38</v>
      </c>
    </row>
    <row r="2659" spans="1:11" ht="42" customHeight="1">
      <c r="A2659" s="2" t="s">
        <v>6322</v>
      </c>
      <c r="B2659" s="2" t="s">
        <v>6323</v>
      </c>
      <c r="C2659" s="2" t="s">
        <v>97</v>
      </c>
      <c r="D2659" s="2" t="s">
        <v>18</v>
      </c>
      <c r="E2659" s="5">
        <v>-29829</v>
      </c>
      <c r="F2659" s="3" t="s">
        <v>44</v>
      </c>
      <c r="G2659" s="3" t="s">
        <v>45</v>
      </c>
      <c r="H2659" s="2" t="s">
        <v>36</v>
      </c>
      <c r="I2659" s="2" t="s">
        <v>6324</v>
      </c>
      <c r="J2659" s="3" t="str">
        <f>HYPERLINK("https://www.boe.es/gazeta/dias/1818/04/30/pdfs/GMD-1818-52.pdf#page=8","Abrir facsímil")</f>
        <v>Abrir facsímil</v>
      </c>
      <c r="K2659" s="3" t="s">
        <v>38</v>
      </c>
    </row>
    <row r="2660" spans="1:11" ht="42" customHeight="1">
      <c r="A2660" s="2" t="s">
        <v>6325</v>
      </c>
      <c r="B2660" s="2" t="s">
        <v>6326</v>
      </c>
      <c r="C2660" s="2" t="s">
        <v>26</v>
      </c>
      <c r="D2660" s="2" t="s">
        <v>27</v>
      </c>
      <c r="E2660" s="5">
        <v>-29607</v>
      </c>
      <c r="F2660" s="3" t="s">
        <v>704</v>
      </c>
      <c r="G2660" s="3" t="s">
        <v>59</v>
      </c>
      <c r="H2660" s="2" t="s">
        <v>36</v>
      </c>
      <c r="I2660" s="2" t="s">
        <v>6327</v>
      </c>
      <c r="J2660" s="3" t="str">
        <f>HYPERLINK("https://www.boe.es/gazeta/dias/1818/12/08/pdfs/GMD-1818-148.pdf#page=6","Abrir facsímil")</f>
        <v>Abrir facsímil</v>
      </c>
      <c r="K2660" s="3" t="s">
        <v>38</v>
      </c>
    </row>
    <row r="2661" spans="1:11" ht="42" customHeight="1">
      <c r="A2661" s="2" t="s">
        <v>6328</v>
      </c>
      <c r="B2661" s="2" t="s">
        <v>6329</v>
      </c>
      <c r="C2661" s="2" t="s">
        <v>68</v>
      </c>
      <c r="D2661" s="2" t="s">
        <v>69</v>
      </c>
      <c r="E2661" s="5">
        <v>-29750</v>
      </c>
      <c r="F2661" s="3" t="s">
        <v>384</v>
      </c>
      <c r="G2661" s="3" t="s">
        <v>59</v>
      </c>
      <c r="H2661" s="2" t="s">
        <v>36</v>
      </c>
      <c r="I2661" s="2" t="s">
        <v>6330</v>
      </c>
      <c r="J2661" s="3" t="str">
        <f>HYPERLINK("https://www.boe.es/gazeta/dias/1818/07/18/pdfs/GMD-1818-86.pdf#page=6","Abrir facsímil")</f>
        <v>Abrir facsímil</v>
      </c>
      <c r="K2661" s="3" t="s">
        <v>38</v>
      </c>
    </row>
    <row r="2662" spans="1:11" ht="42" customHeight="1">
      <c r="A2662" s="2" t="s">
        <v>6331</v>
      </c>
      <c r="B2662" s="2" t="s">
        <v>6332</v>
      </c>
      <c r="C2662" s="2" t="s">
        <v>26</v>
      </c>
      <c r="D2662" s="2" t="s">
        <v>27</v>
      </c>
      <c r="E2662" s="5">
        <v>-29855</v>
      </c>
      <c r="F2662" s="3" t="s">
        <v>676</v>
      </c>
      <c r="G2662" s="3" t="s">
        <v>106</v>
      </c>
      <c r="H2662" s="2" t="s">
        <v>36</v>
      </c>
      <c r="I2662" s="2" t="s">
        <v>6333</v>
      </c>
      <c r="J2662" s="3" t="str">
        <f>HYPERLINK("https://www.boe.es/gazeta/dias/1818/04/04/pdfs/GMD-1818-41.pdf#page=5","Abrir facsímil")</f>
        <v>Abrir facsímil</v>
      </c>
      <c r="K2662" s="3" t="s">
        <v>38</v>
      </c>
    </row>
    <row r="2663" spans="1:11" ht="42" customHeight="1">
      <c r="A2663" s="2" t="s">
        <v>6334</v>
      </c>
      <c r="B2663" s="2" t="s">
        <v>6334</v>
      </c>
      <c r="C2663" s="2" t="s">
        <v>33</v>
      </c>
      <c r="D2663" s="2" t="s">
        <v>18</v>
      </c>
      <c r="E2663" s="5">
        <v>-29934</v>
      </c>
      <c r="F2663" s="3" t="s">
        <v>53</v>
      </c>
      <c r="G2663" s="3" t="s">
        <v>20</v>
      </c>
      <c r="H2663" s="2" t="s">
        <v>36</v>
      </c>
      <c r="I2663" s="2" t="s">
        <v>6335</v>
      </c>
      <c r="J2663" s="3" t="str">
        <f>HYPERLINK("https://www.boe.es/gazeta/dias/1818/01/15/pdfs/GMD-1818-7.pdf#page=7","Abrir facsímil")</f>
        <v>Abrir facsímil</v>
      </c>
      <c r="K2663" s="3" t="s">
        <v>38</v>
      </c>
    </row>
    <row r="2664" spans="1:11" ht="42" customHeight="1">
      <c r="A2664" s="2" t="s">
        <v>6334</v>
      </c>
      <c r="B2664" s="2" t="s">
        <v>6334</v>
      </c>
      <c r="C2664" s="2" t="s">
        <v>17</v>
      </c>
      <c r="D2664" s="2" t="s">
        <v>18</v>
      </c>
      <c r="E2664" s="5">
        <v>-29733</v>
      </c>
      <c r="F2664" s="3" t="s">
        <v>482</v>
      </c>
      <c r="G2664" s="3" t="s">
        <v>29</v>
      </c>
      <c r="H2664" s="2" t="s">
        <v>36</v>
      </c>
      <c r="I2664" s="2" t="s">
        <v>6336</v>
      </c>
      <c r="J2664" s="3" t="str">
        <f>HYPERLINK("https://www.boe.es/gazeta/dias/1818/08/04/pdfs/GMD-1818-93.pdf#page=4","Abrir facsímil")</f>
        <v>Abrir facsímil</v>
      </c>
      <c r="K2664" s="3" t="s">
        <v>38</v>
      </c>
    </row>
    <row r="2665" spans="1:11" ht="42" customHeight="1">
      <c r="A2665" s="2" t="s">
        <v>6337</v>
      </c>
      <c r="B2665" s="2" t="s">
        <v>6338</v>
      </c>
      <c r="C2665" s="2" t="s">
        <v>57</v>
      </c>
      <c r="D2665" s="2" t="s">
        <v>18</v>
      </c>
      <c r="E2665" s="5">
        <v>-29939</v>
      </c>
      <c r="F2665" s="3" t="s">
        <v>110</v>
      </c>
      <c r="G2665" s="3" t="s">
        <v>116</v>
      </c>
      <c r="H2665" s="2" t="s">
        <v>36</v>
      </c>
      <c r="I2665" s="2" t="s">
        <v>6339</v>
      </c>
      <c r="J2665" s="3" t="str">
        <f>HYPERLINK("https://www.boe.es/gazeta/dias/1818/01/10/pdfs/GMD-1818-5.pdf#page=12","Abrir facsímil")</f>
        <v>Abrir facsímil</v>
      </c>
      <c r="K2665" s="3" t="s">
        <v>38</v>
      </c>
    </row>
    <row r="2666" spans="1:11" ht="42" customHeight="1">
      <c r="A2666" s="2" t="s">
        <v>6340</v>
      </c>
      <c r="B2666" s="2" t="s">
        <v>6341</v>
      </c>
      <c r="C2666" s="2" t="s">
        <v>68</v>
      </c>
      <c r="D2666" s="2" t="s">
        <v>69</v>
      </c>
      <c r="E2666" s="5">
        <v>-29915</v>
      </c>
      <c r="F2666" s="3" t="s">
        <v>429</v>
      </c>
      <c r="G2666" s="3" t="s">
        <v>20</v>
      </c>
      <c r="H2666" s="2" t="s">
        <v>36</v>
      </c>
      <c r="I2666" s="2" t="s">
        <v>6342</v>
      </c>
      <c r="J2666" s="3" t="str">
        <f>HYPERLINK("https://www.boe.es/gazeta/dias/1818/02/03/pdfs/GMD-1818-15.pdf#page=7","Abrir facsímil")</f>
        <v>Abrir facsímil</v>
      </c>
      <c r="K2666" s="3" t="s">
        <v>38</v>
      </c>
    </row>
    <row r="2667" spans="1:11" ht="42" customHeight="1">
      <c r="A2667" s="2" t="s">
        <v>6343</v>
      </c>
      <c r="B2667" s="2" t="s">
        <v>6344</v>
      </c>
      <c r="C2667" s="2" t="s">
        <v>215</v>
      </c>
      <c r="D2667" s="2" t="s">
        <v>18</v>
      </c>
      <c r="E2667" s="5">
        <v>-29941</v>
      </c>
      <c r="F2667" s="3" t="s">
        <v>2259</v>
      </c>
      <c r="G2667" s="3" t="s">
        <v>2871</v>
      </c>
      <c r="H2667" s="2" t="s">
        <v>36</v>
      </c>
      <c r="I2667" s="2" t="s">
        <v>6345</v>
      </c>
      <c r="J2667" s="3" t="str">
        <f>HYPERLINK("https://www.boe.es/gazeta/dias/1818/01/08/pdfs/GMD-1818-4.pdf#page=8","Abrir facsímil")</f>
        <v>Abrir facsímil</v>
      </c>
      <c r="K2667" s="3" t="s">
        <v>38</v>
      </c>
    </row>
    <row r="2668" spans="1:11" ht="42" customHeight="1">
      <c r="A2668" s="2" t="s">
        <v>6346</v>
      </c>
      <c r="B2668" s="2" t="s">
        <v>6346</v>
      </c>
      <c r="C2668" s="2" t="s">
        <v>26</v>
      </c>
      <c r="D2668" s="2" t="s">
        <v>27</v>
      </c>
      <c r="E2668" s="5">
        <v>-29731</v>
      </c>
      <c r="F2668" s="3" t="s">
        <v>299</v>
      </c>
      <c r="G2668" s="3" t="s">
        <v>85</v>
      </c>
      <c r="H2668" s="2" t="s">
        <v>36</v>
      </c>
      <c r="I2668" s="2" t="s">
        <v>6347</v>
      </c>
      <c r="J2668" s="3" t="str">
        <f>HYPERLINK("https://www.boe.es/gazeta/dias/1818/08/06/pdfs/GMD-1818-94.pdf#page=3","Abrir facsímil")</f>
        <v>Abrir facsímil</v>
      </c>
      <c r="K2668" s="3" t="s">
        <v>38</v>
      </c>
    </row>
    <row r="2669" spans="1:11" ht="42" customHeight="1">
      <c r="A2669" s="2" t="s">
        <v>6348</v>
      </c>
      <c r="B2669" s="2" t="s">
        <v>6349</v>
      </c>
      <c r="C2669" s="2" t="s">
        <v>26</v>
      </c>
      <c r="D2669" s="2" t="s">
        <v>27</v>
      </c>
      <c r="E2669" s="5">
        <v>-29915</v>
      </c>
      <c r="F2669" s="3" t="s">
        <v>429</v>
      </c>
      <c r="G2669" s="3" t="s">
        <v>1142</v>
      </c>
      <c r="H2669" s="2" t="s">
        <v>36</v>
      </c>
      <c r="I2669" s="2" t="s">
        <v>6350</v>
      </c>
      <c r="J2669" s="3" t="str">
        <f>HYPERLINK("https://www.boe.es/gazeta/dias/1818/02/03/pdfs/GMD-1818-15.pdf#page=6","Abrir facsímil")</f>
        <v>Abrir facsímil</v>
      </c>
      <c r="K2669" s="3" t="s">
        <v>38</v>
      </c>
    </row>
    <row r="2670" spans="1:11" ht="42" customHeight="1">
      <c r="A2670" s="2" t="s">
        <v>6351</v>
      </c>
      <c r="B2670" s="2" t="s">
        <v>6352</v>
      </c>
      <c r="C2670" s="2" t="s">
        <v>68</v>
      </c>
      <c r="D2670" s="2" t="s">
        <v>69</v>
      </c>
      <c r="E2670" s="5">
        <v>-29946</v>
      </c>
      <c r="F2670" s="3" t="s">
        <v>724</v>
      </c>
      <c r="G2670" s="3" t="s">
        <v>59</v>
      </c>
      <c r="H2670" s="2" t="s">
        <v>36</v>
      </c>
      <c r="I2670" s="2" t="s">
        <v>6353</v>
      </c>
      <c r="J2670" s="3" t="str">
        <f>HYPERLINK("https://www.boe.es/gazeta/dias/1818/01/03/pdfs/GMD-1818-2.pdf#page=6","Abrir facsímil")</f>
        <v>Abrir facsímil</v>
      </c>
      <c r="K2670" s="3" t="s">
        <v>38</v>
      </c>
    </row>
    <row r="2671" spans="1:11" ht="42" customHeight="1">
      <c r="A2671" s="2" t="s">
        <v>6354</v>
      </c>
      <c r="B2671" s="2" t="s">
        <v>6355</v>
      </c>
      <c r="C2671" s="2" t="s">
        <v>26</v>
      </c>
      <c r="D2671" s="2" t="s">
        <v>27</v>
      </c>
      <c r="E2671" s="5">
        <v>-29939</v>
      </c>
      <c r="F2671" s="3" t="s">
        <v>110</v>
      </c>
      <c r="G2671" s="3" t="s">
        <v>503</v>
      </c>
      <c r="H2671" s="2" t="s">
        <v>36</v>
      </c>
      <c r="I2671" s="2" t="s">
        <v>6356</v>
      </c>
      <c r="J2671" s="3" t="str">
        <f>HYPERLINK("https://www.boe.es/gazeta/dias/1818/01/10/pdfs/GMD-1818-5.pdf#page=10","Abrir facsímil")</f>
        <v>Abrir facsímil</v>
      </c>
      <c r="K2671" s="3" t="s">
        <v>38</v>
      </c>
    </row>
    <row r="2672" spans="1:11" ht="42" customHeight="1">
      <c r="A2672" s="2" t="s">
        <v>6357</v>
      </c>
      <c r="B2672" s="2" t="s">
        <v>6358</v>
      </c>
      <c r="C2672" s="2" t="s">
        <v>68</v>
      </c>
      <c r="D2672" s="2" t="s">
        <v>69</v>
      </c>
      <c r="E2672" s="5">
        <v>-29631</v>
      </c>
      <c r="F2672" s="3" t="s">
        <v>743</v>
      </c>
      <c r="G2672" s="3" t="s">
        <v>59</v>
      </c>
      <c r="H2672" s="2" t="s">
        <v>36</v>
      </c>
      <c r="I2672" s="2" t="s">
        <v>6359</v>
      </c>
      <c r="J2672" s="3" t="str">
        <f>HYPERLINK("https://www.boe.es/gazeta/dias/1818/11/14/pdfs/GMD-1818-138.pdf#page=6","Abrir facsímil")</f>
        <v>Abrir facsímil</v>
      </c>
      <c r="K2672" s="3" t="s">
        <v>38</v>
      </c>
    </row>
    <row r="2673" spans="1:11" ht="42" customHeight="1">
      <c r="A2673" s="2" t="s">
        <v>6360</v>
      </c>
      <c r="B2673" s="2" t="s">
        <v>6360</v>
      </c>
      <c r="C2673" s="2" t="s">
        <v>17</v>
      </c>
      <c r="D2673" s="2" t="s">
        <v>18</v>
      </c>
      <c r="E2673" s="5">
        <v>-29633</v>
      </c>
      <c r="F2673" s="3" t="s">
        <v>2162</v>
      </c>
      <c r="G2673" s="3" t="s">
        <v>120</v>
      </c>
      <c r="H2673" s="2" t="s">
        <v>36</v>
      </c>
      <c r="I2673" s="2" t="s">
        <v>6361</v>
      </c>
      <c r="J2673" s="3" t="str">
        <f>HYPERLINK("https://www.boe.es/gazeta/dias/1818/11/12/pdfs/GMD-1818-137.pdf#page=2","Abrir facsímil")</f>
        <v>Abrir facsímil</v>
      </c>
      <c r="K2673" s="3" t="s">
        <v>38</v>
      </c>
    </row>
    <row r="2674" spans="1:11" ht="42" customHeight="1">
      <c r="A2674" s="2" t="s">
        <v>6362</v>
      </c>
      <c r="B2674" s="2" t="s">
        <v>6363</v>
      </c>
      <c r="C2674" s="2" t="s">
        <v>33</v>
      </c>
      <c r="D2674" s="2" t="s">
        <v>18</v>
      </c>
      <c r="E2674" s="5">
        <v>-29736</v>
      </c>
      <c r="F2674" s="3" t="s">
        <v>581</v>
      </c>
      <c r="G2674" s="3" t="s">
        <v>59</v>
      </c>
      <c r="H2674" s="2" t="s">
        <v>36</v>
      </c>
      <c r="I2674" s="2" t="s">
        <v>6364</v>
      </c>
      <c r="J2674" s="3" t="str">
        <f>HYPERLINK("https://www.boe.es/gazeta/dias/1818/08/01/pdfs/GMD-1818-92.pdf#page=6","Abrir facsímil")</f>
        <v>Abrir facsímil</v>
      </c>
      <c r="K2674" s="3" t="s">
        <v>38</v>
      </c>
    </row>
    <row r="2675" spans="1:11" ht="42" customHeight="1">
      <c r="A2675" s="2" t="s">
        <v>6365</v>
      </c>
      <c r="B2675" s="2" t="s">
        <v>6366</v>
      </c>
      <c r="C2675" s="2" t="s">
        <v>68</v>
      </c>
      <c r="D2675" s="2" t="s">
        <v>69</v>
      </c>
      <c r="E2675" s="5">
        <v>-29591</v>
      </c>
      <c r="F2675" s="3" t="s">
        <v>1414</v>
      </c>
      <c r="G2675" s="3" t="s">
        <v>1592</v>
      </c>
      <c r="H2675" s="2" t="s">
        <v>36</v>
      </c>
      <c r="I2675" s="2" t="s">
        <v>6367</v>
      </c>
      <c r="J2675" s="3" t="str">
        <f>HYPERLINK("https://www.boe.es/gazeta/dias/1818/12/24/pdfs/GMD-1818-155.pdf#page=6","Abrir facsímil")</f>
        <v>Abrir facsímil</v>
      </c>
      <c r="K2675" s="3" t="s">
        <v>38</v>
      </c>
    </row>
    <row r="2676" spans="1:11" ht="42" customHeight="1">
      <c r="A2676" s="2" t="s">
        <v>6368</v>
      </c>
      <c r="B2676" s="2" t="s">
        <v>6369</v>
      </c>
      <c r="C2676" s="2" t="s">
        <v>17</v>
      </c>
      <c r="D2676" s="2" t="s">
        <v>18</v>
      </c>
      <c r="E2676" s="5">
        <v>-29703</v>
      </c>
      <c r="F2676" s="3" t="s">
        <v>294</v>
      </c>
      <c r="G2676" s="3" t="s">
        <v>29</v>
      </c>
      <c r="H2676" s="2" t="s">
        <v>36</v>
      </c>
      <c r="I2676" s="2" t="s">
        <v>6370</v>
      </c>
      <c r="J2676" s="3" t="str">
        <f>HYPERLINK("https://www.boe.es/gazeta/dias/1818/09/03/pdfs/GMD-1818-106.pdf#page=4","Abrir facsímil")</f>
        <v>Abrir facsímil</v>
      </c>
      <c r="K2676" s="3" t="s">
        <v>38</v>
      </c>
    </row>
    <row r="2677" spans="1:11" ht="42" customHeight="1">
      <c r="A2677" s="2" t="s">
        <v>6371</v>
      </c>
      <c r="B2677" s="2" t="s">
        <v>6372</v>
      </c>
      <c r="C2677" s="2" t="s">
        <v>26</v>
      </c>
      <c r="D2677" s="2" t="s">
        <v>27</v>
      </c>
      <c r="E2677" s="5">
        <v>-29946</v>
      </c>
      <c r="F2677" s="3" t="s">
        <v>724</v>
      </c>
      <c r="G2677" s="3" t="s">
        <v>29</v>
      </c>
      <c r="H2677" s="2" t="s">
        <v>36</v>
      </c>
      <c r="I2677" s="2" t="s">
        <v>6373</v>
      </c>
      <c r="J2677" s="3" t="str">
        <f>HYPERLINK("https://www.boe.es/gazeta/dias/1818/01/03/pdfs/GMD-1818-2.pdf#page=4","Abrir facsímil")</f>
        <v>Abrir facsímil</v>
      </c>
      <c r="K2677" s="3" t="s">
        <v>38</v>
      </c>
    </row>
    <row r="2678" spans="1:11" ht="42" customHeight="1">
      <c r="A2678" s="2" t="s">
        <v>6371</v>
      </c>
      <c r="B2678" s="2" t="s">
        <v>6372</v>
      </c>
      <c r="C2678" s="2" t="s">
        <v>26</v>
      </c>
      <c r="D2678" s="2" t="s">
        <v>27</v>
      </c>
      <c r="E2678" s="5">
        <v>-29913</v>
      </c>
      <c r="F2678" s="3" t="s">
        <v>449</v>
      </c>
      <c r="G2678" s="3" t="s">
        <v>59</v>
      </c>
      <c r="H2678" s="2" t="s">
        <v>36</v>
      </c>
      <c r="I2678" s="2" t="s">
        <v>6374</v>
      </c>
      <c r="J2678" s="3" t="str">
        <f>HYPERLINK("https://www.boe.es/gazeta/dias/1818/02/05/pdfs/GMD-1818-16.pdf#page=6","Abrir facsímil")</f>
        <v>Abrir facsímil</v>
      </c>
      <c r="K2678" s="3" t="s">
        <v>38</v>
      </c>
    </row>
    <row r="2679" spans="1:11" ht="42" customHeight="1">
      <c r="A2679" s="2" t="s">
        <v>6375</v>
      </c>
      <c r="B2679" s="2" t="s">
        <v>6376</v>
      </c>
      <c r="C2679" s="2" t="s">
        <v>26</v>
      </c>
      <c r="D2679" s="2" t="s">
        <v>27</v>
      </c>
      <c r="E2679" s="5">
        <v>-29890</v>
      </c>
      <c r="F2679" s="3" t="s">
        <v>393</v>
      </c>
      <c r="G2679" s="3" t="s">
        <v>4435</v>
      </c>
      <c r="H2679" s="2" t="s">
        <v>36</v>
      </c>
      <c r="I2679" s="2" t="s">
        <v>6377</v>
      </c>
      <c r="J2679" s="3" t="str">
        <f>HYPERLINK("https://www.boe.es/gazeta/dias/1818/02/28/pdfs/GMD-1818-26.pdf#page=4","Abrir facsímil")</f>
        <v>Abrir facsímil</v>
      </c>
      <c r="K2679" s="3" t="s">
        <v>38</v>
      </c>
    </row>
    <row r="2680" spans="1:11" ht="42" customHeight="1">
      <c r="A2680" s="2" t="s">
        <v>6378</v>
      </c>
      <c r="B2680" s="2" t="s">
        <v>6379</v>
      </c>
      <c r="C2680" s="2" t="s">
        <v>26</v>
      </c>
      <c r="D2680" s="2" t="s">
        <v>27</v>
      </c>
      <c r="E2680" s="5">
        <v>-29857</v>
      </c>
      <c r="F2680" s="3" t="s">
        <v>831</v>
      </c>
      <c r="G2680" s="3" t="s">
        <v>106</v>
      </c>
      <c r="H2680" s="2" t="s">
        <v>36</v>
      </c>
      <c r="I2680" s="2" t="s">
        <v>6380</v>
      </c>
      <c r="J2680" s="3" t="str">
        <f>HYPERLINK("https://www.boe.es/gazeta/dias/1818/04/02/pdfs/GMD-1818-40.pdf#page=5","Abrir facsímil")</f>
        <v>Abrir facsímil</v>
      </c>
      <c r="K2680" s="3" t="s">
        <v>38</v>
      </c>
    </row>
    <row r="2681" spans="1:11" ht="42" customHeight="1">
      <c r="A2681" s="2" t="s">
        <v>6378</v>
      </c>
      <c r="B2681" s="2" t="s">
        <v>6379</v>
      </c>
      <c r="C2681" s="2" t="s">
        <v>26</v>
      </c>
      <c r="D2681" s="2" t="s">
        <v>27</v>
      </c>
      <c r="E2681" s="5">
        <v>-29733</v>
      </c>
      <c r="F2681" s="3" t="s">
        <v>482</v>
      </c>
      <c r="G2681" s="3" t="s">
        <v>85</v>
      </c>
      <c r="H2681" s="2" t="s">
        <v>36</v>
      </c>
      <c r="I2681" s="2" t="s">
        <v>6381</v>
      </c>
      <c r="J2681" s="3" t="str">
        <f>HYPERLINK("https://www.boe.es/gazeta/dias/1818/08/04/pdfs/GMD-1818-93.pdf#page=3","Abrir facsímil")</f>
        <v>Abrir facsímil</v>
      </c>
      <c r="K2681" s="3" t="s">
        <v>38</v>
      </c>
    </row>
    <row r="2682" spans="1:11" ht="42" customHeight="1">
      <c r="A2682" s="2" t="s">
        <v>6382</v>
      </c>
      <c r="B2682" s="2" t="s">
        <v>6383</v>
      </c>
      <c r="C2682" s="2" t="s">
        <v>26</v>
      </c>
      <c r="D2682" s="2" t="s">
        <v>27</v>
      </c>
      <c r="E2682" s="5">
        <v>-29673</v>
      </c>
      <c r="F2682" s="3" t="s">
        <v>1099</v>
      </c>
      <c r="G2682" s="3" t="s">
        <v>29</v>
      </c>
      <c r="H2682" s="2" t="s">
        <v>36</v>
      </c>
      <c r="I2682" s="2" t="s">
        <v>6384</v>
      </c>
      <c r="J2682" s="3" t="str">
        <f>HYPERLINK("https://www.boe.es/gazeta/dias/1818/10/03/pdfs/GMD-1818-119.pdf#page=4","Abrir facsímil")</f>
        <v>Abrir facsímil</v>
      </c>
      <c r="K2682" s="3" t="s">
        <v>38</v>
      </c>
    </row>
    <row r="2683" spans="1:11" ht="42" customHeight="1">
      <c r="A2683" s="2" t="s">
        <v>6382</v>
      </c>
      <c r="B2683" s="2" t="s">
        <v>6383</v>
      </c>
      <c r="C2683" s="2" t="s">
        <v>26</v>
      </c>
      <c r="D2683" s="2" t="s">
        <v>27</v>
      </c>
      <c r="E2683" s="5">
        <v>-29673</v>
      </c>
      <c r="F2683" s="3" t="s">
        <v>1099</v>
      </c>
      <c r="G2683" s="3" t="s">
        <v>106</v>
      </c>
      <c r="H2683" s="2" t="s">
        <v>36</v>
      </c>
      <c r="I2683" s="2" t="s">
        <v>6385</v>
      </c>
      <c r="J2683" s="3" t="str">
        <f>HYPERLINK("https://www.boe.es/gazeta/dias/1818/10/03/pdfs/GMD-1818-119.pdf#page=5","Abrir facsímil")</f>
        <v>Abrir facsímil</v>
      </c>
      <c r="K2683" s="3" t="s">
        <v>38</v>
      </c>
    </row>
    <row r="2684" spans="1:11" ht="42" customHeight="1">
      <c r="A2684" s="2" t="s">
        <v>6382</v>
      </c>
      <c r="B2684" s="2" t="s">
        <v>6383</v>
      </c>
      <c r="C2684" s="2" t="s">
        <v>26</v>
      </c>
      <c r="D2684" s="2" t="s">
        <v>27</v>
      </c>
      <c r="E2684" s="5">
        <v>-29670</v>
      </c>
      <c r="F2684" s="3" t="s">
        <v>48</v>
      </c>
      <c r="G2684" s="3" t="s">
        <v>106</v>
      </c>
      <c r="H2684" s="2" t="s">
        <v>36</v>
      </c>
      <c r="I2684" s="2" t="s">
        <v>6386</v>
      </c>
      <c r="J2684" s="3" t="str">
        <f>HYPERLINK("https://www.boe.es/gazeta/dias/1818/10/06/pdfs/GMD-1818-120.pdf#page=5","Abrir facsímil")</f>
        <v>Abrir facsímil</v>
      </c>
      <c r="K2684" s="3" t="s">
        <v>38</v>
      </c>
    </row>
    <row r="2685" spans="1:11" ht="42" customHeight="1">
      <c r="A2685" s="2" t="s">
        <v>6387</v>
      </c>
      <c r="B2685" s="2" t="s">
        <v>6388</v>
      </c>
      <c r="C2685" s="2" t="s">
        <v>215</v>
      </c>
      <c r="D2685" s="2" t="s">
        <v>18</v>
      </c>
      <c r="E2685" s="5">
        <v>-29766</v>
      </c>
      <c r="F2685" s="3" t="s">
        <v>276</v>
      </c>
      <c r="G2685" s="3" t="s">
        <v>45</v>
      </c>
      <c r="H2685" s="2" t="s">
        <v>36</v>
      </c>
      <c r="I2685" s="2" t="s">
        <v>6389</v>
      </c>
      <c r="J2685" s="3" t="str">
        <f>HYPERLINK("https://www.boe.es/gazeta/dias/1818/07/02/pdfs/GMD-1818-79.pdf#page=8","Abrir facsímil")</f>
        <v>Abrir facsímil</v>
      </c>
      <c r="K2685" s="3" t="s">
        <v>38</v>
      </c>
    </row>
    <row r="2686" spans="1:11" ht="42" customHeight="1">
      <c r="A2686" s="2" t="s">
        <v>6390</v>
      </c>
      <c r="B2686" s="2" t="s">
        <v>6390</v>
      </c>
      <c r="C2686" s="2" t="s">
        <v>26</v>
      </c>
      <c r="D2686" s="2" t="s">
        <v>27</v>
      </c>
      <c r="E2686" s="5">
        <v>-29647</v>
      </c>
      <c r="F2686" s="3" t="s">
        <v>1547</v>
      </c>
      <c r="G2686" s="3" t="s">
        <v>29</v>
      </c>
      <c r="H2686" s="2" t="s">
        <v>36</v>
      </c>
      <c r="I2686" s="2" t="s">
        <v>6391</v>
      </c>
      <c r="J2686" s="3" t="str">
        <f>HYPERLINK("https://www.boe.es/gazeta/dias/1818/10/29/pdfs/GMD-1818-131.pdf#page=4","Abrir facsímil")</f>
        <v>Abrir facsímil</v>
      </c>
      <c r="K2686" s="3" t="s">
        <v>38</v>
      </c>
    </row>
    <row r="2687" spans="1:11" ht="42" customHeight="1">
      <c r="A2687" s="2" t="s">
        <v>6392</v>
      </c>
      <c r="B2687" s="2" t="s">
        <v>6392</v>
      </c>
      <c r="C2687" s="2" t="s">
        <v>26</v>
      </c>
      <c r="D2687" s="2" t="s">
        <v>27</v>
      </c>
      <c r="E2687" s="5">
        <v>-29642</v>
      </c>
      <c r="F2687" s="3" t="s">
        <v>248</v>
      </c>
      <c r="G2687" s="3" t="s">
        <v>120</v>
      </c>
      <c r="H2687" s="2" t="s">
        <v>36</v>
      </c>
      <c r="I2687" s="2" t="s">
        <v>6393</v>
      </c>
      <c r="J2687" s="3" t="str">
        <f>HYPERLINK("https://www.boe.es/gazeta/dias/1818/11/03/pdfs/GMD-1818-133.pdf#page=2","Abrir facsímil")</f>
        <v>Abrir facsímil</v>
      </c>
      <c r="K2687" s="3" t="s">
        <v>38</v>
      </c>
    </row>
    <row r="2688" spans="1:11" ht="42" customHeight="1">
      <c r="A2688" s="2" t="s">
        <v>6394</v>
      </c>
      <c r="B2688" s="2" t="s">
        <v>6395</v>
      </c>
      <c r="C2688" s="2" t="s">
        <v>26</v>
      </c>
      <c r="D2688" s="2" t="s">
        <v>27</v>
      </c>
      <c r="E2688" s="5">
        <v>-29750</v>
      </c>
      <c r="F2688" s="3" t="s">
        <v>384</v>
      </c>
      <c r="G2688" s="3" t="s">
        <v>418</v>
      </c>
      <c r="H2688" s="2" t="s">
        <v>36</v>
      </c>
      <c r="I2688" s="2" t="s">
        <v>6396</v>
      </c>
      <c r="J2688" s="3" t="str">
        <f>HYPERLINK("https://www.boe.es/gazeta/dias/1818/07/18/pdfs/GMD-1818-86.pdf#page=9","Abrir facsímil")</f>
        <v>Abrir facsímil</v>
      </c>
      <c r="K2688" s="3" t="s">
        <v>38</v>
      </c>
    </row>
    <row r="2689" spans="1:11" ht="42" customHeight="1">
      <c r="A2689" s="2" t="s">
        <v>6397</v>
      </c>
      <c r="B2689" s="2" t="s">
        <v>6398</v>
      </c>
      <c r="C2689" s="2" t="s">
        <v>26</v>
      </c>
      <c r="D2689" s="2" t="s">
        <v>27</v>
      </c>
      <c r="E2689" s="5">
        <v>-29936</v>
      </c>
      <c r="F2689" s="3" t="s">
        <v>398</v>
      </c>
      <c r="G2689" s="3" t="s">
        <v>20</v>
      </c>
      <c r="H2689" s="2" t="s">
        <v>36</v>
      </c>
      <c r="I2689" s="2" t="s">
        <v>6399</v>
      </c>
      <c r="J2689" s="3" t="str">
        <f>HYPERLINK("https://www.boe.es/gazeta/dias/1818/01/13/pdfs/GMD-1818-6.pdf#page=7","Abrir facsímil")</f>
        <v>Abrir facsímil</v>
      </c>
      <c r="K2689" s="3" t="s">
        <v>38</v>
      </c>
    </row>
    <row r="2690" spans="1:11" ht="42" customHeight="1">
      <c r="A2690" s="2" t="s">
        <v>6400</v>
      </c>
      <c r="B2690" s="2" t="s">
        <v>6401</v>
      </c>
      <c r="C2690" s="2" t="s">
        <v>68</v>
      </c>
      <c r="D2690" s="2" t="s">
        <v>69</v>
      </c>
      <c r="E2690" s="5">
        <v>-29712</v>
      </c>
      <c r="F2690" s="3" t="s">
        <v>1309</v>
      </c>
      <c r="G2690" s="3" t="s">
        <v>20</v>
      </c>
      <c r="H2690" s="2" t="s">
        <v>36</v>
      </c>
      <c r="I2690" s="2" t="s">
        <v>6402</v>
      </c>
      <c r="J2690" s="3" t="str">
        <f>HYPERLINK("https://www.boe.es/gazeta/dias/1818/08/25/pdfs/GMD-1818-102.pdf#page=7","Abrir facsímil")</f>
        <v>Abrir facsímil</v>
      </c>
      <c r="K2690" s="3" t="s">
        <v>38</v>
      </c>
    </row>
    <row r="2691" spans="1:11" ht="42" customHeight="1">
      <c r="A2691" s="2" t="s">
        <v>6403</v>
      </c>
      <c r="B2691" s="2" t="s">
        <v>6404</v>
      </c>
      <c r="C2691" s="2" t="s">
        <v>57</v>
      </c>
      <c r="D2691" s="2" t="s">
        <v>18</v>
      </c>
      <c r="E2691" s="5">
        <v>-29792</v>
      </c>
      <c r="F2691" s="3" t="s">
        <v>948</v>
      </c>
      <c r="G2691" s="3" t="s">
        <v>45</v>
      </c>
      <c r="H2691" s="2" t="s">
        <v>21</v>
      </c>
      <c r="I2691" s="2" t="s">
        <v>6405</v>
      </c>
      <c r="J2691" s="3" t="str">
        <f>HYPERLINK("https://www.boe.es/gazeta/dias/1818/06/06/pdfs/GMD-1818-68.pdf#page=8","Abrir facsímil")</f>
        <v>Abrir facsímil</v>
      </c>
      <c r="K2691" s="3" t="s">
        <v>23</v>
      </c>
    </row>
    <row r="2692" spans="1:11" ht="42" customHeight="1">
      <c r="A2692" s="2" t="s">
        <v>6403</v>
      </c>
      <c r="B2692" s="2" t="s">
        <v>6404</v>
      </c>
      <c r="C2692" s="2" t="s">
        <v>33</v>
      </c>
      <c r="D2692" s="2" t="s">
        <v>18</v>
      </c>
      <c r="E2692" s="5">
        <v>-29598</v>
      </c>
      <c r="F2692" s="3" t="s">
        <v>98</v>
      </c>
      <c r="G2692" s="3" t="s">
        <v>20</v>
      </c>
      <c r="H2692" s="2" t="s">
        <v>21</v>
      </c>
      <c r="I2692" s="2" t="s">
        <v>6406</v>
      </c>
      <c r="J2692" s="3" t="str">
        <f>HYPERLINK("https://www.boe.es/gazeta/dias/1818/12/17/pdfs/GMD-1818-152.pdf#page=7","Abrir facsímil")</f>
        <v>Abrir facsímil</v>
      </c>
      <c r="K2692" s="3" t="s">
        <v>23</v>
      </c>
    </row>
    <row r="2693" spans="1:11" ht="42" customHeight="1">
      <c r="A2693" s="2" t="s">
        <v>6407</v>
      </c>
      <c r="B2693" s="2" t="s">
        <v>6408</v>
      </c>
      <c r="C2693" s="2" t="s">
        <v>26</v>
      </c>
      <c r="D2693" s="2" t="s">
        <v>27</v>
      </c>
      <c r="E2693" s="5">
        <v>-29719</v>
      </c>
      <c r="F2693" s="3" t="s">
        <v>243</v>
      </c>
      <c r="G2693" s="3" t="s">
        <v>772</v>
      </c>
      <c r="H2693" s="2" t="s">
        <v>36</v>
      </c>
      <c r="I2693" s="2" t="s">
        <v>6409</v>
      </c>
      <c r="J2693" s="3" t="str">
        <f>HYPERLINK("https://www.boe.es/gazeta/dias/1818/08/18/pdfs/GMD-1818-99.pdf#page=10","Abrir facsímil")</f>
        <v>Abrir facsímil</v>
      </c>
      <c r="K2693" s="3" t="s">
        <v>38</v>
      </c>
    </row>
    <row r="2694" spans="1:11" ht="42" customHeight="1">
      <c r="A2694" s="2" t="s">
        <v>6410</v>
      </c>
      <c r="B2694" s="2" t="s">
        <v>6410</v>
      </c>
      <c r="C2694" s="2" t="s">
        <v>57</v>
      </c>
      <c r="D2694" s="2" t="s">
        <v>18</v>
      </c>
      <c r="E2694" s="5">
        <v>-29864</v>
      </c>
      <c r="F2694" s="3" t="s">
        <v>196</v>
      </c>
      <c r="G2694" s="3" t="s">
        <v>59</v>
      </c>
      <c r="H2694" s="2" t="s">
        <v>36</v>
      </c>
      <c r="I2694" s="2" t="s">
        <v>6411</v>
      </c>
      <c r="J2694" s="3" t="str">
        <f>HYPERLINK("https://www.boe.es/gazeta/dias/1818/03/26/pdfs/GMD-1818-37.pdf#page=6","Abrir facsímil")</f>
        <v>Abrir facsímil</v>
      </c>
      <c r="K2694" s="3" t="s">
        <v>38</v>
      </c>
    </row>
    <row r="2695" spans="1:11" ht="42" customHeight="1">
      <c r="A2695" s="2" t="s">
        <v>6410</v>
      </c>
      <c r="B2695" s="2" t="s">
        <v>6410</v>
      </c>
      <c r="C2695" s="2" t="s">
        <v>26</v>
      </c>
      <c r="D2695" s="2" t="s">
        <v>27</v>
      </c>
      <c r="E2695" s="5">
        <v>-29596</v>
      </c>
      <c r="F2695" s="3" t="s">
        <v>555</v>
      </c>
      <c r="G2695" s="3" t="s">
        <v>556</v>
      </c>
      <c r="H2695" s="2" t="s">
        <v>36</v>
      </c>
      <c r="I2695" s="2" t="s">
        <v>6412</v>
      </c>
      <c r="J2695" s="3" t="str">
        <f>HYPERLINK("https://www.boe.es/gazeta/dias/1818/12/19/pdfs/GMD-1818-153.pdf#page=4","Abrir facsímil")</f>
        <v>Abrir facsímil</v>
      </c>
      <c r="K2695" s="3" t="s">
        <v>38</v>
      </c>
    </row>
    <row r="2696" spans="1:11" ht="42" customHeight="1">
      <c r="A2696" s="2" t="s">
        <v>6410</v>
      </c>
      <c r="B2696" s="2" t="s">
        <v>6410</v>
      </c>
      <c r="C2696" s="2" t="s">
        <v>57</v>
      </c>
      <c r="D2696" s="2" t="s">
        <v>18</v>
      </c>
      <c r="E2696" s="5">
        <v>-29596</v>
      </c>
      <c r="F2696" s="3" t="s">
        <v>555</v>
      </c>
      <c r="G2696" s="3" t="s">
        <v>45</v>
      </c>
      <c r="H2696" s="2" t="s">
        <v>36</v>
      </c>
      <c r="I2696" s="2" t="s">
        <v>6413</v>
      </c>
      <c r="J2696" s="3" t="str">
        <f>HYPERLINK("https://www.boe.es/gazeta/dias/1818/12/19/pdfs/GMD-1818-153.pdf#page=8","Abrir facsímil")</f>
        <v>Abrir facsímil</v>
      </c>
      <c r="K2696" s="3" t="s">
        <v>38</v>
      </c>
    </row>
    <row r="2697" spans="1:11" ht="42" customHeight="1">
      <c r="A2697" s="2" t="s">
        <v>6414</v>
      </c>
      <c r="B2697" s="2" t="s">
        <v>6415</v>
      </c>
      <c r="C2697" s="2" t="s">
        <v>26</v>
      </c>
      <c r="D2697" s="2" t="s">
        <v>27</v>
      </c>
      <c r="E2697" s="5">
        <v>-29701</v>
      </c>
      <c r="F2697" s="3" t="s">
        <v>596</v>
      </c>
      <c r="G2697" s="3" t="s">
        <v>106</v>
      </c>
      <c r="H2697" s="2" t="s">
        <v>36</v>
      </c>
      <c r="I2697" s="2" t="s">
        <v>6416</v>
      </c>
      <c r="J2697" s="3" t="str">
        <f>HYPERLINK("https://www.boe.es/gazeta/dias/1818/09/05/pdfs/GMD-1818-107.pdf#page=5","Abrir facsímil")</f>
        <v>Abrir facsímil</v>
      </c>
      <c r="K2697" s="3" t="s">
        <v>38</v>
      </c>
    </row>
    <row r="2698" spans="1:11" ht="42" customHeight="1">
      <c r="A2698" s="2" t="s">
        <v>6417</v>
      </c>
      <c r="B2698" s="2" t="s">
        <v>6418</v>
      </c>
      <c r="C2698" s="2" t="s">
        <v>57</v>
      </c>
      <c r="D2698" s="2" t="s">
        <v>18</v>
      </c>
      <c r="E2698" s="5">
        <v>-29782</v>
      </c>
      <c r="F2698" s="3" t="s">
        <v>226</v>
      </c>
      <c r="G2698" s="3" t="s">
        <v>106</v>
      </c>
      <c r="H2698" s="2" t="s">
        <v>36</v>
      </c>
      <c r="I2698" s="2" t="s">
        <v>6419</v>
      </c>
      <c r="J2698" s="3" t="str">
        <f>HYPERLINK("https://www.boe.es/gazeta/dias/1818/06/16/pdfs/GMD-1818-72.pdf#page=5","Abrir facsímil")</f>
        <v>Abrir facsímil</v>
      </c>
      <c r="K2698" s="3" t="s">
        <v>38</v>
      </c>
    </row>
    <row r="2699" spans="1:11" ht="42" customHeight="1">
      <c r="A2699" s="2" t="s">
        <v>6420</v>
      </c>
      <c r="B2699" s="2" t="s">
        <v>6421</v>
      </c>
      <c r="C2699" s="2" t="s">
        <v>26</v>
      </c>
      <c r="D2699" s="2" t="s">
        <v>27</v>
      </c>
      <c r="E2699" s="5">
        <v>-29843</v>
      </c>
      <c r="F2699" s="3" t="s">
        <v>182</v>
      </c>
      <c r="G2699" s="3" t="s">
        <v>59</v>
      </c>
      <c r="H2699" s="2" t="s">
        <v>21</v>
      </c>
      <c r="I2699" s="2" t="s">
        <v>6422</v>
      </c>
      <c r="J2699" s="3" t="str">
        <f>HYPERLINK("https://www.boe.es/gazeta/dias/1818/04/16/pdfs/GMD-1818-46.pdf#page=6","Abrir facsímil")</f>
        <v>Abrir facsímil</v>
      </c>
      <c r="K2699" s="3" t="s">
        <v>23</v>
      </c>
    </row>
    <row r="2700" spans="1:11" ht="42" customHeight="1">
      <c r="A2700" s="2" t="s">
        <v>6423</v>
      </c>
      <c r="B2700" s="2" t="s">
        <v>6424</v>
      </c>
      <c r="C2700" s="2" t="s">
        <v>26</v>
      </c>
      <c r="D2700" s="2" t="s">
        <v>27</v>
      </c>
      <c r="E2700" s="5">
        <v>-29740</v>
      </c>
      <c r="F2700" s="3" t="s">
        <v>152</v>
      </c>
      <c r="G2700" s="3" t="s">
        <v>153</v>
      </c>
      <c r="H2700" s="2" t="s">
        <v>36</v>
      </c>
      <c r="I2700" s="2" t="s">
        <v>6425</v>
      </c>
      <c r="J2700" s="3" t="str">
        <f>HYPERLINK("https://www.boe.es/gazeta/dias/1818/07/28/pdfs/GMD-1818-90.pdf#page=6","Abrir facsímil")</f>
        <v>Abrir facsímil</v>
      </c>
      <c r="K2700" s="3" t="s">
        <v>38</v>
      </c>
    </row>
    <row r="2701" spans="1:11" ht="42" customHeight="1">
      <c r="A2701" s="2" t="s">
        <v>6426</v>
      </c>
      <c r="B2701" s="2" t="s">
        <v>6427</v>
      </c>
      <c r="C2701" s="2" t="s">
        <v>68</v>
      </c>
      <c r="D2701" s="2" t="s">
        <v>69</v>
      </c>
      <c r="E2701" s="5">
        <v>-29659</v>
      </c>
      <c r="F2701" s="3" t="s">
        <v>1690</v>
      </c>
      <c r="G2701" s="3" t="s">
        <v>20</v>
      </c>
      <c r="H2701" s="2" t="s">
        <v>36</v>
      </c>
      <c r="I2701" s="2" t="s">
        <v>6428</v>
      </c>
      <c r="J2701" s="3" t="str">
        <f>HYPERLINK("https://www.boe.es/gazeta/dias/1818/10/17/pdfs/GMD-1818-126.pdf#page=7","Abrir facsímil")</f>
        <v>Abrir facsímil</v>
      </c>
      <c r="K2701" s="3" t="s">
        <v>38</v>
      </c>
    </row>
    <row r="2702" spans="1:11" ht="42" customHeight="1">
      <c r="A2702" s="2" t="s">
        <v>6429</v>
      </c>
      <c r="B2702" s="2" t="s">
        <v>6430</v>
      </c>
      <c r="C2702" s="2" t="s">
        <v>17</v>
      </c>
      <c r="D2702" s="2" t="s">
        <v>18</v>
      </c>
      <c r="E2702" s="5">
        <v>-29747</v>
      </c>
      <c r="F2702" s="3" t="s">
        <v>536</v>
      </c>
      <c r="G2702" s="3" t="s">
        <v>45</v>
      </c>
      <c r="H2702" s="2" t="s">
        <v>36</v>
      </c>
      <c r="I2702" s="2" t="s">
        <v>6431</v>
      </c>
      <c r="J2702" s="3" t="str">
        <f>HYPERLINK("https://www.boe.es/gazeta/dias/1818/07/21/pdfs/GMD-1818-87.pdf#page=8","Abrir facsímil")</f>
        <v>Abrir facsímil</v>
      </c>
      <c r="K2702" s="3" t="s">
        <v>38</v>
      </c>
    </row>
    <row r="2703" spans="1:11" ht="42" customHeight="1">
      <c r="A2703" s="2" t="s">
        <v>6432</v>
      </c>
      <c r="B2703" s="2" t="s">
        <v>6433</v>
      </c>
      <c r="C2703" s="2" t="s">
        <v>26</v>
      </c>
      <c r="D2703" s="2" t="s">
        <v>27</v>
      </c>
      <c r="E2703" s="5">
        <v>-29701</v>
      </c>
      <c r="F2703" s="3" t="s">
        <v>596</v>
      </c>
      <c r="G2703" s="3" t="s">
        <v>59</v>
      </c>
      <c r="H2703" s="2" t="s">
        <v>21</v>
      </c>
      <c r="I2703" s="2" t="s">
        <v>6434</v>
      </c>
      <c r="J2703" s="3" t="str">
        <f>HYPERLINK("https://www.boe.es/gazeta/dias/1818/09/05/pdfs/GMD-1818-107.pdf#page=6","Abrir facsímil")</f>
        <v>Abrir facsímil</v>
      </c>
      <c r="K2703" s="3" t="s">
        <v>23</v>
      </c>
    </row>
    <row r="2704" spans="1:11" ht="42" customHeight="1">
      <c r="A2704" s="2" t="s">
        <v>6435</v>
      </c>
      <c r="B2704" s="2" t="s">
        <v>6436</v>
      </c>
      <c r="C2704" s="2" t="s">
        <v>68</v>
      </c>
      <c r="D2704" s="2" t="s">
        <v>69</v>
      </c>
      <c r="E2704" s="5">
        <v>-29894</v>
      </c>
      <c r="F2704" s="3" t="s">
        <v>820</v>
      </c>
      <c r="G2704" s="3" t="s">
        <v>106</v>
      </c>
      <c r="H2704" s="2" t="s">
        <v>36</v>
      </c>
      <c r="I2704" s="2" t="s">
        <v>6437</v>
      </c>
      <c r="J2704" s="3" t="str">
        <f>HYPERLINK("https://www.boe.es/gazeta/dias/1818/02/24/pdfs/GMD-1818-24.pdf#page=5","Abrir facsímil")</f>
        <v>Abrir facsímil</v>
      </c>
      <c r="K2704" s="3" t="s">
        <v>38</v>
      </c>
    </row>
    <row r="2705" spans="1:11" ht="42" customHeight="1">
      <c r="A2705" s="2" t="s">
        <v>6438</v>
      </c>
      <c r="B2705" s="2" t="s">
        <v>6438</v>
      </c>
      <c r="C2705" s="2" t="s">
        <v>26</v>
      </c>
      <c r="D2705" s="2" t="s">
        <v>27</v>
      </c>
      <c r="E2705" s="5">
        <v>-29915</v>
      </c>
      <c r="F2705" s="3" t="s">
        <v>429</v>
      </c>
      <c r="G2705" s="3" t="s">
        <v>20</v>
      </c>
      <c r="H2705" s="2" t="s">
        <v>36</v>
      </c>
      <c r="I2705" s="2" t="s">
        <v>6439</v>
      </c>
      <c r="J2705" s="3" t="str">
        <f>HYPERLINK("https://www.boe.es/gazeta/dias/1818/02/03/pdfs/GMD-1818-15.pdf#page=7","Abrir facsímil")</f>
        <v>Abrir facsímil</v>
      </c>
      <c r="K2705" s="3" t="s">
        <v>38</v>
      </c>
    </row>
    <row r="2706" spans="1:11" ht="42" customHeight="1">
      <c r="A2706" s="2" t="s">
        <v>6440</v>
      </c>
      <c r="B2706" s="2" t="s">
        <v>6441</v>
      </c>
      <c r="C2706" s="2" t="s">
        <v>26</v>
      </c>
      <c r="D2706" s="2" t="s">
        <v>27</v>
      </c>
      <c r="E2706" s="5">
        <v>-29845</v>
      </c>
      <c r="F2706" s="3" t="s">
        <v>105</v>
      </c>
      <c r="G2706" s="3" t="s">
        <v>833</v>
      </c>
      <c r="H2706" s="2" t="s">
        <v>36</v>
      </c>
      <c r="I2706" s="2" t="s">
        <v>6442</v>
      </c>
      <c r="J2706" s="3" t="str">
        <f>HYPERLINK("https://www.boe.es/gazeta/dias/1818/04/14/pdfs/GMD-1818-45.pdf#page=4","Abrir facsímil")</f>
        <v>Abrir facsímil</v>
      </c>
      <c r="K2706" s="3" t="s">
        <v>38</v>
      </c>
    </row>
    <row r="2707" spans="1:11" ht="42" customHeight="1">
      <c r="A2707" s="2" t="s">
        <v>6443</v>
      </c>
      <c r="B2707" s="2" t="s">
        <v>6444</v>
      </c>
      <c r="C2707" s="2" t="s">
        <v>26</v>
      </c>
      <c r="D2707" s="2" t="s">
        <v>27</v>
      </c>
      <c r="E2707" s="5">
        <v>-29915</v>
      </c>
      <c r="F2707" s="3" t="s">
        <v>429</v>
      </c>
      <c r="G2707" s="3" t="s">
        <v>20</v>
      </c>
      <c r="H2707" s="2" t="s">
        <v>36</v>
      </c>
      <c r="I2707" s="2" t="s">
        <v>6445</v>
      </c>
      <c r="J2707" s="3" t="str">
        <f>HYPERLINK("https://www.boe.es/gazeta/dias/1818/02/03/pdfs/GMD-1818-15.pdf#page=7","Abrir facsímil")</f>
        <v>Abrir facsímil</v>
      </c>
      <c r="K2707" s="3" t="s">
        <v>38</v>
      </c>
    </row>
    <row r="2708" spans="1:11" ht="42" customHeight="1">
      <c r="A2708" s="2" t="s">
        <v>6446</v>
      </c>
      <c r="B2708" s="2" t="s">
        <v>6447</v>
      </c>
      <c r="C2708" s="2" t="s">
        <v>26</v>
      </c>
      <c r="D2708" s="2" t="s">
        <v>27</v>
      </c>
      <c r="E2708" s="5">
        <v>-29619</v>
      </c>
      <c r="F2708" s="3" t="s">
        <v>64</v>
      </c>
      <c r="G2708" s="3" t="s">
        <v>721</v>
      </c>
      <c r="H2708" s="2" t="s">
        <v>36</v>
      </c>
      <c r="I2708" s="2" t="s">
        <v>6448</v>
      </c>
      <c r="J2708" s="3" t="str">
        <f>HYPERLINK("https://www.boe.es/gazeta/dias/1818/11/26/pdfs/GMD-1818-143.pdf#page=5","Abrir facsímil")</f>
        <v>Abrir facsímil</v>
      </c>
      <c r="K2708" s="3" t="s">
        <v>38</v>
      </c>
    </row>
    <row r="2709" spans="1:11" ht="42" customHeight="1">
      <c r="A2709" s="2" t="s">
        <v>6449</v>
      </c>
      <c r="B2709" s="2" t="s">
        <v>6450</v>
      </c>
      <c r="C2709" s="2" t="s">
        <v>26</v>
      </c>
      <c r="D2709" s="2" t="s">
        <v>27</v>
      </c>
      <c r="E2709" s="5">
        <v>-29918</v>
      </c>
      <c r="F2709" s="3" t="s">
        <v>89</v>
      </c>
      <c r="G2709" s="3" t="s">
        <v>90</v>
      </c>
      <c r="H2709" s="2" t="s">
        <v>36</v>
      </c>
      <c r="I2709" s="2" t="s">
        <v>6451</v>
      </c>
      <c r="J2709" s="3" t="str">
        <f>HYPERLINK("https://www.boe.es/gazeta/dias/1818/01/31/pdfs/GMD-1818-14.pdf#page=10","Abrir facsímil")</f>
        <v>Abrir facsímil</v>
      </c>
      <c r="K2709" s="3" t="s">
        <v>38</v>
      </c>
    </row>
    <row r="2710" spans="1:11" ht="42" customHeight="1">
      <c r="A2710" s="2" t="s">
        <v>6452</v>
      </c>
      <c r="B2710" s="2" t="s">
        <v>6453</v>
      </c>
      <c r="C2710" s="2" t="s">
        <v>26</v>
      </c>
      <c r="D2710" s="2" t="s">
        <v>27</v>
      </c>
      <c r="E2710" s="5">
        <v>-29936</v>
      </c>
      <c r="F2710" s="3" t="s">
        <v>398</v>
      </c>
      <c r="G2710" s="3" t="s">
        <v>29</v>
      </c>
      <c r="H2710" s="2" t="s">
        <v>36</v>
      </c>
      <c r="I2710" s="2" t="s">
        <v>6454</v>
      </c>
      <c r="J2710" s="3" t="str">
        <f>HYPERLINK("https://www.boe.es/gazeta/dias/1818/01/13/pdfs/GMD-1818-6.pdf#page=4","Abrir facsímil")</f>
        <v>Abrir facsímil</v>
      </c>
      <c r="K2710" s="3" t="s">
        <v>38</v>
      </c>
    </row>
    <row r="2711" spans="1:11" ht="42" customHeight="1">
      <c r="A2711" s="2" t="s">
        <v>6452</v>
      </c>
      <c r="B2711" s="2" t="s">
        <v>6453</v>
      </c>
      <c r="C2711" s="2" t="s">
        <v>26</v>
      </c>
      <c r="D2711" s="2" t="s">
        <v>27</v>
      </c>
      <c r="E2711" s="5">
        <v>-29719</v>
      </c>
      <c r="F2711" s="3" t="s">
        <v>243</v>
      </c>
      <c r="G2711" s="3" t="s">
        <v>59</v>
      </c>
      <c r="H2711" s="2" t="s">
        <v>36</v>
      </c>
      <c r="I2711" s="2" t="s">
        <v>6455</v>
      </c>
      <c r="J2711" s="3" t="str">
        <f>HYPERLINK("https://www.boe.es/gazeta/dias/1818/08/18/pdfs/GMD-1818-99.pdf#page=6","Abrir facsímil")</f>
        <v>Abrir facsímil</v>
      </c>
      <c r="K2711" s="3" t="s">
        <v>38</v>
      </c>
    </row>
    <row r="2712" spans="1:11" ht="42" customHeight="1">
      <c r="A2712" s="2" t="s">
        <v>6456</v>
      </c>
      <c r="B2712" s="2" t="s">
        <v>6457</v>
      </c>
      <c r="C2712" s="2" t="s">
        <v>26</v>
      </c>
      <c r="D2712" s="2" t="s">
        <v>27</v>
      </c>
      <c r="E2712" s="5">
        <v>-29939</v>
      </c>
      <c r="F2712" s="3" t="s">
        <v>110</v>
      </c>
      <c r="G2712" s="3" t="s">
        <v>933</v>
      </c>
      <c r="H2712" s="2" t="s">
        <v>36</v>
      </c>
      <c r="I2712" s="2" t="s">
        <v>6458</v>
      </c>
      <c r="J2712" s="3" t="str">
        <f>HYPERLINK("https://www.boe.es/gazeta/dias/1818/01/10/pdfs/GMD-1818-5.pdf#page=9","Abrir facsímil")</f>
        <v>Abrir facsímil</v>
      </c>
      <c r="K2712" s="3" t="s">
        <v>38</v>
      </c>
    </row>
    <row r="2713" spans="1:11" ht="42" customHeight="1">
      <c r="A2713" s="2" t="s">
        <v>6459</v>
      </c>
      <c r="B2713" s="2" t="s">
        <v>6460</v>
      </c>
      <c r="C2713" s="2" t="s">
        <v>68</v>
      </c>
      <c r="D2713" s="2" t="s">
        <v>69</v>
      </c>
      <c r="E2713" s="5">
        <v>-29936</v>
      </c>
      <c r="F2713" s="3" t="s">
        <v>398</v>
      </c>
      <c r="G2713" s="3" t="s">
        <v>20</v>
      </c>
      <c r="H2713" s="2" t="s">
        <v>36</v>
      </c>
      <c r="I2713" s="2" t="s">
        <v>6461</v>
      </c>
      <c r="J2713" s="3" t="str">
        <f>HYPERLINK("https://www.boe.es/gazeta/dias/1818/01/13/pdfs/GMD-1818-6.pdf#page=7","Abrir facsímil")</f>
        <v>Abrir facsímil</v>
      </c>
      <c r="K2713" s="3" t="s">
        <v>38</v>
      </c>
    </row>
    <row r="2714" spans="1:11" ht="42" customHeight="1">
      <c r="A2714" s="2" t="s">
        <v>6462</v>
      </c>
      <c r="B2714" s="2" t="s">
        <v>6463</v>
      </c>
      <c r="C2714" s="2" t="s">
        <v>17</v>
      </c>
      <c r="D2714" s="2" t="s">
        <v>18</v>
      </c>
      <c r="E2714" s="5">
        <v>-29698</v>
      </c>
      <c r="F2714" s="3" t="s">
        <v>148</v>
      </c>
      <c r="G2714" s="3" t="s">
        <v>29</v>
      </c>
      <c r="H2714" s="2" t="s">
        <v>36</v>
      </c>
      <c r="I2714" s="2" t="s">
        <v>6464</v>
      </c>
      <c r="J2714" s="3" t="str">
        <f>HYPERLINK("https://www.boe.es/gazeta/dias/1818/09/08/pdfs/GMD-1818-108.pdf#page=4","Abrir facsímil")</f>
        <v>Abrir facsímil</v>
      </c>
      <c r="K2714" s="3" t="s">
        <v>38</v>
      </c>
    </row>
    <row r="2715" spans="1:11" ht="42" customHeight="1">
      <c r="A2715" s="2" t="s">
        <v>6465</v>
      </c>
      <c r="B2715" s="2" t="s">
        <v>6466</v>
      </c>
      <c r="C2715" s="2" t="s">
        <v>17</v>
      </c>
      <c r="D2715" s="2" t="s">
        <v>18</v>
      </c>
      <c r="E2715" s="5">
        <v>-29708</v>
      </c>
      <c r="F2715" s="3" t="s">
        <v>413</v>
      </c>
      <c r="G2715" s="3" t="s">
        <v>20</v>
      </c>
      <c r="H2715" s="2" t="s">
        <v>36</v>
      </c>
      <c r="I2715" s="2" t="s">
        <v>6467</v>
      </c>
      <c r="J2715" s="3" t="str">
        <f>HYPERLINK("https://www.boe.es/gazeta/dias/1818/08/29/pdfs/GMD-1818-104.pdf#page=7","Abrir facsímil")</f>
        <v>Abrir facsímil</v>
      </c>
      <c r="K2715" s="3" t="s">
        <v>38</v>
      </c>
    </row>
    <row r="2716" spans="1:11" ht="42" customHeight="1">
      <c r="A2716" s="2" t="s">
        <v>6468</v>
      </c>
      <c r="B2716" s="2" t="s">
        <v>6469</v>
      </c>
      <c r="C2716" s="2" t="s">
        <v>63</v>
      </c>
      <c r="D2716" s="2" t="s">
        <v>18</v>
      </c>
      <c r="E2716" s="5">
        <v>-29901</v>
      </c>
      <c r="F2716" s="3" t="s">
        <v>417</v>
      </c>
      <c r="G2716" s="3" t="s">
        <v>45</v>
      </c>
      <c r="H2716" s="2" t="s">
        <v>36</v>
      </c>
      <c r="I2716" s="2" t="s">
        <v>6470</v>
      </c>
      <c r="J2716" s="3" t="str">
        <f>HYPERLINK("https://www.boe.es/gazeta/dias/1818/02/17/pdfs/GMD-1818-21.pdf#page=8","Abrir facsímil")</f>
        <v>Abrir facsímil</v>
      </c>
      <c r="K2716" s="3" t="s">
        <v>38</v>
      </c>
    </row>
    <row r="2717" spans="1:11" ht="42" customHeight="1">
      <c r="A2717" s="2" t="s">
        <v>6471</v>
      </c>
      <c r="B2717" s="2" t="s">
        <v>6472</v>
      </c>
      <c r="C2717" s="2" t="s">
        <v>26</v>
      </c>
      <c r="D2717" s="2" t="s">
        <v>27</v>
      </c>
      <c r="E2717" s="5">
        <v>-29626</v>
      </c>
      <c r="F2717" s="3" t="s">
        <v>496</v>
      </c>
      <c r="G2717" s="3" t="s">
        <v>59</v>
      </c>
      <c r="H2717" s="2" t="s">
        <v>36</v>
      </c>
      <c r="I2717" s="2" t="s">
        <v>6473</v>
      </c>
      <c r="J2717" s="3" t="str">
        <f>HYPERLINK("https://www.boe.es/gazeta/dias/1818/11/19/pdfs/GMD-1818-140.pdf#page=6","Abrir facsímil")</f>
        <v>Abrir facsímil</v>
      </c>
      <c r="K2717" s="3" t="s">
        <v>38</v>
      </c>
    </row>
    <row r="2718" spans="1:11" ht="42" customHeight="1">
      <c r="A2718" s="2" t="s">
        <v>6474</v>
      </c>
      <c r="B2718" s="2" t="s">
        <v>6475</v>
      </c>
      <c r="C2718" s="2" t="s">
        <v>33</v>
      </c>
      <c r="D2718" s="2" t="s">
        <v>18</v>
      </c>
      <c r="E2718" s="5">
        <v>-29736</v>
      </c>
      <c r="F2718" s="3" t="s">
        <v>581</v>
      </c>
      <c r="G2718" s="3" t="s">
        <v>59</v>
      </c>
      <c r="H2718" s="2" t="s">
        <v>36</v>
      </c>
      <c r="I2718" s="2" t="s">
        <v>6476</v>
      </c>
      <c r="J2718" s="3" t="str">
        <f>HYPERLINK("https://www.boe.es/gazeta/dias/1818/08/01/pdfs/GMD-1818-92.pdf#page=6","Abrir facsímil")</f>
        <v>Abrir facsímil</v>
      </c>
      <c r="K2718" s="3" t="s">
        <v>38</v>
      </c>
    </row>
    <row r="2719" spans="1:11" ht="42" customHeight="1">
      <c r="A2719" s="2" t="s">
        <v>6477</v>
      </c>
      <c r="B2719" s="2" t="s">
        <v>6478</v>
      </c>
      <c r="C2719" s="2" t="s">
        <v>17</v>
      </c>
      <c r="D2719" s="2" t="s">
        <v>18</v>
      </c>
      <c r="E2719" s="5">
        <v>-29869</v>
      </c>
      <c r="F2719" s="3" t="s">
        <v>140</v>
      </c>
      <c r="G2719" s="3" t="s">
        <v>106</v>
      </c>
      <c r="H2719" s="2" t="s">
        <v>36</v>
      </c>
      <c r="I2719" s="2" t="s">
        <v>6479</v>
      </c>
      <c r="J2719" s="3" t="str">
        <f>HYPERLINK("https://www.boe.es/gazeta/dias/1818/03/21/pdfs/GMD-1818-35.pdf#page=5","Abrir facsímil")</f>
        <v>Abrir facsímil</v>
      </c>
      <c r="K2719" s="3" t="s">
        <v>38</v>
      </c>
    </row>
    <row r="2720" spans="1:11" ht="42" customHeight="1">
      <c r="A2720" s="2" t="s">
        <v>6477</v>
      </c>
      <c r="B2720" s="2" t="s">
        <v>6478</v>
      </c>
      <c r="C2720" s="2" t="s">
        <v>17</v>
      </c>
      <c r="D2720" s="2" t="s">
        <v>18</v>
      </c>
      <c r="E2720" s="5">
        <v>-29624</v>
      </c>
      <c r="F2720" s="3" t="s">
        <v>131</v>
      </c>
      <c r="G2720" s="3" t="s">
        <v>20</v>
      </c>
      <c r="H2720" s="2" t="s">
        <v>36</v>
      </c>
      <c r="I2720" s="2" t="s">
        <v>6480</v>
      </c>
      <c r="J2720" s="3" t="str">
        <f>HYPERLINK("https://www.boe.es/gazeta/dias/1818/11/21/pdfs/GMD-1818-141.pdf#page=7","Abrir facsímil")</f>
        <v>Abrir facsímil</v>
      </c>
      <c r="K2720" s="3" t="s">
        <v>38</v>
      </c>
    </row>
    <row r="2721" spans="1:11" ht="42" customHeight="1">
      <c r="A2721" s="2" t="s">
        <v>6477</v>
      </c>
      <c r="B2721" s="2" t="s">
        <v>6478</v>
      </c>
      <c r="C2721" s="2" t="s">
        <v>215</v>
      </c>
      <c r="D2721" s="2" t="s">
        <v>18</v>
      </c>
      <c r="E2721" s="5">
        <v>-29619</v>
      </c>
      <c r="F2721" s="3" t="s">
        <v>64</v>
      </c>
      <c r="G2721" s="3" t="s">
        <v>20</v>
      </c>
      <c r="H2721" s="2" t="s">
        <v>36</v>
      </c>
      <c r="I2721" s="2" t="s">
        <v>6481</v>
      </c>
      <c r="J2721" s="3" t="str">
        <f>HYPERLINK("https://www.boe.es/gazeta/dias/1818/11/26/pdfs/GMD-1818-143.pdf#page=7","Abrir facsímil")</f>
        <v>Abrir facsímil</v>
      </c>
      <c r="K2721" s="3" t="s">
        <v>38</v>
      </c>
    </row>
    <row r="2722" spans="1:11" ht="42" customHeight="1">
      <c r="A2722" s="2" t="s">
        <v>6482</v>
      </c>
      <c r="B2722" s="2" t="s">
        <v>6483</v>
      </c>
      <c r="C2722" s="2" t="s">
        <v>26</v>
      </c>
      <c r="D2722" s="2" t="s">
        <v>27</v>
      </c>
      <c r="E2722" s="5">
        <v>-29719</v>
      </c>
      <c r="F2722" s="3" t="s">
        <v>243</v>
      </c>
      <c r="G2722" s="3" t="s">
        <v>59</v>
      </c>
      <c r="H2722" s="2" t="s">
        <v>36</v>
      </c>
      <c r="I2722" s="2" t="s">
        <v>6484</v>
      </c>
      <c r="J2722" s="3" t="str">
        <f>HYPERLINK("https://www.boe.es/gazeta/dias/1818/08/18/pdfs/GMD-1818-99.pdf#page=6","Abrir facsímil")</f>
        <v>Abrir facsímil</v>
      </c>
      <c r="K2722" s="3" t="s">
        <v>38</v>
      </c>
    </row>
    <row r="2723" spans="1:11" ht="42" customHeight="1">
      <c r="A2723" s="2" t="s">
        <v>6485</v>
      </c>
      <c r="B2723" s="2" t="s">
        <v>6486</v>
      </c>
      <c r="C2723" s="2" t="s">
        <v>26</v>
      </c>
      <c r="D2723" s="2" t="s">
        <v>27</v>
      </c>
      <c r="E2723" s="5">
        <v>-29845</v>
      </c>
      <c r="F2723" s="3" t="s">
        <v>105</v>
      </c>
      <c r="G2723" s="3" t="s">
        <v>833</v>
      </c>
      <c r="H2723" s="2" t="s">
        <v>36</v>
      </c>
      <c r="I2723" s="2" t="s">
        <v>6487</v>
      </c>
      <c r="J2723" s="3" t="str">
        <f>HYPERLINK("https://www.boe.es/gazeta/dias/1818/04/14/pdfs/GMD-1818-45.pdf#page=4","Abrir facsímil")</f>
        <v>Abrir facsímil</v>
      </c>
      <c r="K2723" s="3" t="s">
        <v>38</v>
      </c>
    </row>
    <row r="2724" spans="1:11" ht="42" customHeight="1">
      <c r="A2724" s="2" t="s">
        <v>6488</v>
      </c>
      <c r="B2724" s="2" t="s">
        <v>6489</v>
      </c>
      <c r="C2724" s="2" t="s">
        <v>26</v>
      </c>
      <c r="D2724" s="2" t="s">
        <v>27</v>
      </c>
      <c r="E2724" s="5">
        <v>-29904</v>
      </c>
      <c r="F2724" s="3" t="s">
        <v>451</v>
      </c>
      <c r="G2724" s="3" t="s">
        <v>59</v>
      </c>
      <c r="H2724" s="2" t="s">
        <v>36</v>
      </c>
      <c r="I2724" s="2" t="s">
        <v>6490</v>
      </c>
      <c r="J2724" s="3" t="str">
        <f>HYPERLINK("https://www.boe.es/gazeta/dias/1818/02/14/pdfs/GMD-1818-20.pdf#page=6","Abrir facsímil")</f>
        <v>Abrir facsímil</v>
      </c>
      <c r="K2724" s="3" t="s">
        <v>38</v>
      </c>
    </row>
    <row r="2725" spans="1:11" ht="42" customHeight="1">
      <c r="A2725" s="2" t="s">
        <v>6491</v>
      </c>
      <c r="B2725" s="2" t="s">
        <v>6492</v>
      </c>
      <c r="C2725" s="2" t="s">
        <v>33</v>
      </c>
      <c r="D2725" s="2" t="s">
        <v>18</v>
      </c>
      <c r="E2725" s="5">
        <v>-29934</v>
      </c>
      <c r="F2725" s="3" t="s">
        <v>53</v>
      </c>
      <c r="G2725" s="3" t="s">
        <v>20</v>
      </c>
      <c r="H2725" s="2" t="s">
        <v>21</v>
      </c>
      <c r="I2725" s="2" t="s">
        <v>6493</v>
      </c>
      <c r="J2725" s="3" t="str">
        <f>HYPERLINK("https://www.boe.es/gazeta/dias/1818/01/15/pdfs/GMD-1818-7.pdf#page=7","Abrir facsímil")</f>
        <v>Abrir facsímil</v>
      </c>
      <c r="K2725" s="3" t="s">
        <v>23</v>
      </c>
    </row>
    <row r="2726" spans="1:11" ht="42" customHeight="1">
      <c r="A2726" s="2" t="s">
        <v>6494</v>
      </c>
      <c r="B2726" s="2" t="s">
        <v>6495</v>
      </c>
      <c r="C2726" s="2" t="s">
        <v>26</v>
      </c>
      <c r="D2726" s="2" t="s">
        <v>27</v>
      </c>
      <c r="E2726" s="5">
        <v>-29677</v>
      </c>
      <c r="F2726" s="3" t="s">
        <v>157</v>
      </c>
      <c r="G2726" s="3" t="s">
        <v>20</v>
      </c>
      <c r="H2726" s="2" t="s">
        <v>36</v>
      </c>
      <c r="I2726" s="2" t="s">
        <v>6496</v>
      </c>
      <c r="J2726" s="3" t="str">
        <f>HYPERLINK("https://www.boe.es/gazeta/dias/1818/09/29/pdfs/GMD-1818-117.pdf#page=7","Abrir facsímil")</f>
        <v>Abrir facsímil</v>
      </c>
      <c r="K2726" s="3" t="s">
        <v>38</v>
      </c>
    </row>
    <row r="2727" spans="1:11" ht="42" customHeight="1">
      <c r="A2727" s="2" t="s">
        <v>6497</v>
      </c>
      <c r="B2727" s="2" t="s">
        <v>6498</v>
      </c>
      <c r="C2727" s="2" t="s">
        <v>17</v>
      </c>
      <c r="D2727" s="2" t="s">
        <v>18</v>
      </c>
      <c r="E2727" s="5">
        <v>-29698</v>
      </c>
      <c r="F2727" s="3" t="s">
        <v>148</v>
      </c>
      <c r="G2727" s="3" t="s">
        <v>29</v>
      </c>
      <c r="H2727" s="2" t="s">
        <v>36</v>
      </c>
      <c r="I2727" s="2" t="s">
        <v>6499</v>
      </c>
      <c r="J2727" s="3" t="str">
        <f>HYPERLINK("https://www.boe.es/gazeta/dias/1818/09/08/pdfs/GMD-1818-108.pdf#page=4","Abrir facsímil")</f>
        <v>Abrir facsímil</v>
      </c>
      <c r="K2727" s="3" t="s">
        <v>38</v>
      </c>
    </row>
    <row r="2728" spans="1:11" ht="42" customHeight="1">
      <c r="A2728" s="2" t="s">
        <v>6500</v>
      </c>
      <c r="B2728" s="2" t="s">
        <v>6501</v>
      </c>
      <c r="C2728" s="2" t="s">
        <v>17</v>
      </c>
      <c r="D2728" s="2" t="s">
        <v>18</v>
      </c>
      <c r="E2728" s="5">
        <v>-29733</v>
      </c>
      <c r="F2728" s="3" t="s">
        <v>482</v>
      </c>
      <c r="G2728" s="3" t="s">
        <v>85</v>
      </c>
      <c r="H2728" s="2" t="s">
        <v>36</v>
      </c>
      <c r="I2728" s="2" t="s">
        <v>6502</v>
      </c>
      <c r="J2728" s="3" t="str">
        <f>HYPERLINK("https://www.boe.es/gazeta/dias/1818/08/04/pdfs/GMD-1818-93.pdf#page=3","Abrir facsímil")</f>
        <v>Abrir facsímil</v>
      </c>
      <c r="K2728" s="3" t="s">
        <v>38</v>
      </c>
    </row>
    <row r="2729" spans="1:11" ht="42" customHeight="1">
      <c r="A2729" s="2" t="s">
        <v>6500</v>
      </c>
      <c r="B2729" s="2" t="s">
        <v>6501</v>
      </c>
      <c r="C2729" s="2" t="s">
        <v>17</v>
      </c>
      <c r="D2729" s="2" t="s">
        <v>18</v>
      </c>
      <c r="E2729" s="5">
        <v>-29733</v>
      </c>
      <c r="F2729" s="3" t="s">
        <v>482</v>
      </c>
      <c r="G2729" s="3" t="s">
        <v>59</v>
      </c>
      <c r="H2729" s="2" t="s">
        <v>36</v>
      </c>
      <c r="I2729" s="2" t="s">
        <v>6503</v>
      </c>
      <c r="J2729" s="3" t="str">
        <f>HYPERLINK("https://www.boe.es/gazeta/dias/1818/08/04/pdfs/GMD-1818-93.pdf#page=6","Abrir facsímil")</f>
        <v>Abrir facsímil</v>
      </c>
      <c r="K2729" s="3" t="s">
        <v>38</v>
      </c>
    </row>
    <row r="2730" spans="1:11" ht="42" customHeight="1">
      <c r="A2730" s="2" t="s">
        <v>6504</v>
      </c>
      <c r="B2730" s="2" t="s">
        <v>6505</v>
      </c>
      <c r="C2730" s="2" t="s">
        <v>57</v>
      </c>
      <c r="D2730" s="2" t="s">
        <v>18</v>
      </c>
      <c r="E2730" s="5">
        <v>-29904</v>
      </c>
      <c r="F2730" s="3" t="s">
        <v>451</v>
      </c>
      <c r="G2730" s="3" t="s">
        <v>45</v>
      </c>
      <c r="H2730" s="2" t="s">
        <v>36</v>
      </c>
      <c r="I2730" s="2" t="s">
        <v>6506</v>
      </c>
      <c r="J2730" s="3" t="str">
        <f>HYPERLINK("https://www.boe.es/gazeta/dias/1818/02/14/pdfs/GMD-1818-20.pdf#page=8","Abrir facsímil")</f>
        <v>Abrir facsímil</v>
      </c>
      <c r="K2730" s="3" t="s">
        <v>38</v>
      </c>
    </row>
    <row r="2731" spans="1:11" ht="42" customHeight="1">
      <c r="A2731" s="2" t="s">
        <v>6507</v>
      </c>
      <c r="B2731" s="2" t="s">
        <v>6508</v>
      </c>
      <c r="C2731" s="2" t="s">
        <v>57</v>
      </c>
      <c r="D2731" s="2" t="s">
        <v>18</v>
      </c>
      <c r="E2731" s="5">
        <v>-29915</v>
      </c>
      <c r="F2731" s="3" t="s">
        <v>429</v>
      </c>
      <c r="G2731" s="3" t="s">
        <v>45</v>
      </c>
      <c r="H2731" s="2" t="s">
        <v>36</v>
      </c>
      <c r="I2731" s="2" t="s">
        <v>6509</v>
      </c>
      <c r="J2731" s="3" t="str">
        <f>HYPERLINK("https://www.boe.es/gazeta/dias/1818/02/03/pdfs/GMD-1818-15.pdf#page=8","Abrir facsímil")</f>
        <v>Abrir facsímil</v>
      </c>
      <c r="K2731" s="3" t="s">
        <v>38</v>
      </c>
    </row>
    <row r="2732" spans="1:11" ht="42" customHeight="1">
      <c r="A2732" s="2" t="s">
        <v>6507</v>
      </c>
      <c r="B2732" s="2" t="s">
        <v>6508</v>
      </c>
      <c r="C2732" s="2" t="s">
        <v>57</v>
      </c>
      <c r="D2732" s="2" t="s">
        <v>18</v>
      </c>
      <c r="E2732" s="5">
        <v>-29871</v>
      </c>
      <c r="F2732" s="3" t="s">
        <v>641</v>
      </c>
      <c r="G2732" s="3" t="s">
        <v>45</v>
      </c>
      <c r="H2732" s="2" t="s">
        <v>36</v>
      </c>
      <c r="I2732" s="2" t="s">
        <v>6510</v>
      </c>
      <c r="J2732" s="3" t="str">
        <f>HYPERLINK("https://www.boe.es/gazeta/dias/1818/03/19/pdfs/GMD-1818-34.pdf#page=8","Abrir facsímil")</f>
        <v>Abrir facsímil</v>
      </c>
      <c r="K2732" s="3" t="s">
        <v>38</v>
      </c>
    </row>
    <row r="2733" spans="1:11" ht="42" customHeight="1">
      <c r="A2733" s="2" t="s">
        <v>6507</v>
      </c>
      <c r="B2733" s="2" t="s">
        <v>6508</v>
      </c>
      <c r="C2733" s="2" t="s">
        <v>63</v>
      </c>
      <c r="D2733" s="2" t="s">
        <v>18</v>
      </c>
      <c r="E2733" s="5">
        <v>-29652</v>
      </c>
      <c r="F2733" s="3" t="s">
        <v>741</v>
      </c>
      <c r="G2733" s="3" t="s">
        <v>20</v>
      </c>
      <c r="H2733" s="2" t="s">
        <v>36</v>
      </c>
      <c r="I2733" s="2" t="s">
        <v>6511</v>
      </c>
      <c r="J2733" s="3" t="str">
        <f>HYPERLINK("https://www.boe.es/gazeta/dias/1818/10/24/pdfs/GMD-1818-129.pdf#page=7","Abrir facsímil")</f>
        <v>Abrir facsímil</v>
      </c>
      <c r="K2733" s="3" t="s">
        <v>38</v>
      </c>
    </row>
    <row r="2734" spans="1:11" ht="42" customHeight="1">
      <c r="A2734" s="2" t="s">
        <v>6512</v>
      </c>
      <c r="B2734" s="2" t="s">
        <v>6512</v>
      </c>
      <c r="C2734" s="2" t="s">
        <v>33</v>
      </c>
      <c r="D2734" s="2" t="s">
        <v>18</v>
      </c>
      <c r="E2734" s="5">
        <v>-29864</v>
      </c>
      <c r="F2734" s="3" t="s">
        <v>196</v>
      </c>
      <c r="G2734" s="3" t="s">
        <v>59</v>
      </c>
      <c r="H2734" s="2" t="s">
        <v>36</v>
      </c>
      <c r="I2734" s="2" t="s">
        <v>6513</v>
      </c>
      <c r="J2734" s="3" t="str">
        <f>HYPERLINK("https://www.boe.es/gazeta/dias/1818/03/26/pdfs/GMD-1818-37.pdf#page=6","Abrir facsímil")</f>
        <v>Abrir facsímil</v>
      </c>
      <c r="K2734" s="3" t="s">
        <v>38</v>
      </c>
    </row>
    <row r="2735" spans="1:11" ht="42" customHeight="1">
      <c r="A2735" s="2" t="s">
        <v>6514</v>
      </c>
      <c r="B2735" s="2" t="s">
        <v>6514</v>
      </c>
      <c r="C2735" s="2" t="s">
        <v>68</v>
      </c>
      <c r="D2735" s="2" t="s">
        <v>69</v>
      </c>
      <c r="E2735" s="5">
        <v>-29666</v>
      </c>
      <c r="F2735" s="3" t="s">
        <v>258</v>
      </c>
      <c r="G2735" s="3" t="s">
        <v>259</v>
      </c>
      <c r="H2735" s="2" t="s">
        <v>36</v>
      </c>
      <c r="I2735" s="2" t="s">
        <v>6515</v>
      </c>
      <c r="J2735" s="3" t="str">
        <f>HYPERLINK("https://www.boe.es/gazeta/dias/1818/10/10/pdfs/GMD-1818-122.pdf#page=8","Abrir facsímil")</f>
        <v>Abrir facsímil</v>
      </c>
      <c r="K2735" s="3" t="s">
        <v>38</v>
      </c>
    </row>
    <row r="2736" spans="1:11" ht="42" customHeight="1">
      <c r="A2736" s="2" t="s">
        <v>6516</v>
      </c>
      <c r="B2736" s="2" t="s">
        <v>6517</v>
      </c>
      <c r="C2736" s="2" t="s">
        <v>17</v>
      </c>
      <c r="D2736" s="2" t="s">
        <v>18</v>
      </c>
      <c r="E2736" s="5">
        <v>-29843</v>
      </c>
      <c r="F2736" s="3" t="s">
        <v>182</v>
      </c>
      <c r="G2736" s="3" t="s">
        <v>20</v>
      </c>
      <c r="H2736" s="2" t="s">
        <v>36</v>
      </c>
      <c r="I2736" s="2" t="s">
        <v>6518</v>
      </c>
      <c r="J2736" s="3" t="str">
        <f>HYPERLINK("https://www.boe.es/gazeta/dias/1818/04/16/pdfs/GMD-1818-46.pdf#page=7","Abrir facsímil")</f>
        <v>Abrir facsímil</v>
      </c>
      <c r="K2736" s="3" t="s">
        <v>38</v>
      </c>
    </row>
    <row r="2737" spans="1:11" ht="42" customHeight="1">
      <c r="A2737" s="2" t="s">
        <v>6519</v>
      </c>
      <c r="B2737" s="2" t="s">
        <v>6520</v>
      </c>
      <c r="C2737" s="2" t="s">
        <v>57</v>
      </c>
      <c r="D2737" s="2" t="s">
        <v>18</v>
      </c>
      <c r="E2737" s="5">
        <v>-29584</v>
      </c>
      <c r="F2737" s="3" t="s">
        <v>1002</v>
      </c>
      <c r="G2737" s="3" t="s">
        <v>45</v>
      </c>
      <c r="H2737" s="2" t="s">
        <v>36</v>
      </c>
      <c r="I2737" s="2" t="s">
        <v>6521</v>
      </c>
      <c r="J2737" s="3" t="str">
        <f>HYPERLINK("https://www.boe.es/gazeta/dias/1818/12/31/pdfs/GMD-1818-159.pdf#page=8","Abrir facsímil")</f>
        <v>Abrir facsímil</v>
      </c>
      <c r="K2737" s="3" t="s">
        <v>38</v>
      </c>
    </row>
    <row r="2738" spans="1:11" ht="42" customHeight="1">
      <c r="A2738" s="2" t="s">
        <v>6522</v>
      </c>
      <c r="B2738" s="2" t="s">
        <v>6523</v>
      </c>
      <c r="C2738" s="2" t="s">
        <v>26</v>
      </c>
      <c r="D2738" s="2" t="s">
        <v>27</v>
      </c>
      <c r="E2738" s="5">
        <v>-29782</v>
      </c>
      <c r="F2738" s="3" t="s">
        <v>226</v>
      </c>
      <c r="G2738" s="3" t="s">
        <v>4220</v>
      </c>
      <c r="H2738" s="2" t="s">
        <v>36</v>
      </c>
      <c r="I2738" s="2" t="s">
        <v>6524</v>
      </c>
      <c r="J2738" s="3" t="str">
        <f>HYPERLINK("https://www.boe.es/gazeta/dias/1818/06/16/pdfs/GMD-1818-72.pdf#page=6","Abrir facsímil")</f>
        <v>Abrir facsímil</v>
      </c>
      <c r="K2738" s="3" t="s">
        <v>38</v>
      </c>
    </row>
    <row r="2739" spans="1:11" ht="42" customHeight="1">
      <c r="A2739" s="2" t="s">
        <v>6525</v>
      </c>
      <c r="B2739" s="2" t="s">
        <v>6526</v>
      </c>
      <c r="C2739" s="2" t="s">
        <v>26</v>
      </c>
      <c r="D2739" s="2" t="s">
        <v>27</v>
      </c>
      <c r="E2739" s="5">
        <v>-29771</v>
      </c>
      <c r="F2739" s="3" t="s">
        <v>1260</v>
      </c>
      <c r="G2739" s="3" t="s">
        <v>4136</v>
      </c>
      <c r="H2739" s="2" t="s">
        <v>36</v>
      </c>
      <c r="I2739" s="2" t="s">
        <v>6527</v>
      </c>
      <c r="J2739" s="3" t="str">
        <f>HYPERLINK("https://www.boe.es/gazeta/dias/1818/06/27/pdfs/GMD-1818-77.pdf#page=4","Abrir facsímil")</f>
        <v>Abrir facsímil</v>
      </c>
      <c r="K2739" s="3" t="s">
        <v>38</v>
      </c>
    </row>
    <row r="2740" spans="1:11" ht="42" customHeight="1">
      <c r="A2740" s="2" t="s">
        <v>6528</v>
      </c>
      <c r="B2740" s="2" t="s">
        <v>6528</v>
      </c>
      <c r="C2740" s="2" t="s">
        <v>17</v>
      </c>
      <c r="D2740" s="2" t="s">
        <v>18</v>
      </c>
      <c r="E2740" s="5">
        <v>-29845</v>
      </c>
      <c r="F2740" s="3" t="s">
        <v>105</v>
      </c>
      <c r="G2740" s="3" t="s">
        <v>85</v>
      </c>
      <c r="H2740" s="2" t="s">
        <v>36</v>
      </c>
      <c r="I2740" s="2" t="s">
        <v>6529</v>
      </c>
      <c r="J2740" s="3" t="str">
        <f>HYPERLINK("https://www.boe.es/gazeta/dias/1818/04/14/pdfs/GMD-1818-45.pdf#page=3","Abrir facsímil")</f>
        <v>Abrir facsímil</v>
      </c>
      <c r="K2740" s="3" t="s">
        <v>38</v>
      </c>
    </row>
    <row r="2741" spans="1:11" ht="42" customHeight="1">
      <c r="A2741" s="2" t="s">
        <v>6530</v>
      </c>
      <c r="B2741" s="2" t="s">
        <v>6530</v>
      </c>
      <c r="C2741" s="2" t="s">
        <v>26</v>
      </c>
      <c r="D2741" s="2" t="s">
        <v>27</v>
      </c>
      <c r="E2741" s="5">
        <v>-29703</v>
      </c>
      <c r="F2741" s="3" t="s">
        <v>294</v>
      </c>
      <c r="G2741" s="3" t="s">
        <v>45</v>
      </c>
      <c r="H2741" s="2" t="s">
        <v>36</v>
      </c>
      <c r="I2741" s="2" t="s">
        <v>6531</v>
      </c>
      <c r="J2741" s="3" t="str">
        <f>HYPERLINK("https://www.boe.es/gazeta/dias/1818/09/03/pdfs/GMD-1818-106.pdf#page=8","Abrir facsímil")</f>
        <v>Abrir facsímil</v>
      </c>
      <c r="K2741" s="3" t="s">
        <v>38</v>
      </c>
    </row>
    <row r="2742" spans="1:11" ht="42" customHeight="1">
      <c r="A2742" s="2" t="s">
        <v>6530</v>
      </c>
      <c r="B2742" s="2" t="s">
        <v>6530</v>
      </c>
      <c r="C2742" s="2" t="s">
        <v>26</v>
      </c>
      <c r="D2742" s="2" t="s">
        <v>27</v>
      </c>
      <c r="E2742" s="5">
        <v>-29656</v>
      </c>
      <c r="F2742" s="3" t="s">
        <v>601</v>
      </c>
      <c r="G2742" s="3" t="s">
        <v>29</v>
      </c>
      <c r="H2742" s="2" t="s">
        <v>36</v>
      </c>
      <c r="I2742" s="2" t="s">
        <v>6532</v>
      </c>
      <c r="J2742" s="3" t="str">
        <f>HYPERLINK("https://www.boe.es/gazeta/dias/1818/10/20/pdfs/GMD-1818-127.pdf#page=4","Abrir facsímil")</f>
        <v>Abrir facsímil</v>
      </c>
      <c r="K2742" s="3" t="s">
        <v>38</v>
      </c>
    </row>
    <row r="2743" spans="1:11" ht="42" customHeight="1">
      <c r="A2743" s="2" t="s">
        <v>6530</v>
      </c>
      <c r="B2743" s="2" t="s">
        <v>6530</v>
      </c>
      <c r="C2743" s="2" t="s">
        <v>68</v>
      </c>
      <c r="D2743" s="2" t="s">
        <v>69</v>
      </c>
      <c r="E2743" s="5">
        <v>-29654</v>
      </c>
      <c r="F2743" s="3" t="s">
        <v>219</v>
      </c>
      <c r="G2743" s="3" t="s">
        <v>20</v>
      </c>
      <c r="H2743" s="2" t="s">
        <v>36</v>
      </c>
      <c r="I2743" s="2" t="s">
        <v>6533</v>
      </c>
      <c r="J2743" s="3" t="str">
        <f>HYPERLINK("https://www.boe.es/gazeta/dias/1818/10/22/pdfs/GMD-1818-128.pdf#page=7","Abrir facsímil")</f>
        <v>Abrir facsímil</v>
      </c>
      <c r="K2743" s="3" t="s">
        <v>38</v>
      </c>
    </row>
    <row r="2744" spans="1:11" ht="42" customHeight="1">
      <c r="A2744" s="2" t="s">
        <v>6534</v>
      </c>
      <c r="B2744" s="2" t="s">
        <v>6535</v>
      </c>
      <c r="C2744" s="2" t="s">
        <v>63</v>
      </c>
      <c r="D2744" s="2" t="s">
        <v>18</v>
      </c>
      <c r="E2744" s="5">
        <v>-29717</v>
      </c>
      <c r="F2744" s="3" t="s">
        <v>1644</v>
      </c>
      <c r="G2744" s="3" t="s">
        <v>45</v>
      </c>
      <c r="H2744" s="2" t="s">
        <v>36</v>
      </c>
      <c r="I2744" s="2" t="s">
        <v>6536</v>
      </c>
      <c r="J2744" s="3" t="str">
        <f>HYPERLINK("https://www.boe.es/gazeta/dias/1818/08/20/pdfs/GMD-1818-100.pdf#page=8","Abrir facsímil")</f>
        <v>Abrir facsímil</v>
      </c>
      <c r="K2744" s="3" t="s">
        <v>38</v>
      </c>
    </row>
    <row r="2745" spans="1:11" ht="42" customHeight="1">
      <c r="A2745" s="2" t="s">
        <v>6537</v>
      </c>
      <c r="B2745" s="2" t="s">
        <v>6538</v>
      </c>
      <c r="C2745" s="2" t="s">
        <v>63</v>
      </c>
      <c r="D2745" s="2" t="s">
        <v>18</v>
      </c>
      <c r="E2745" s="5">
        <v>-29605</v>
      </c>
      <c r="F2745" s="3" t="s">
        <v>888</v>
      </c>
      <c r="G2745" s="3" t="s">
        <v>1327</v>
      </c>
      <c r="H2745" s="2" t="s">
        <v>36</v>
      </c>
      <c r="I2745" s="2" t="s">
        <v>6539</v>
      </c>
      <c r="J2745" s="3" t="str">
        <f>HYPERLINK("https://www.boe.es/gazeta/dias/1818/12/10/pdfs/GMD-1818-149.pdf#page=8","Abrir facsímil")</f>
        <v>Abrir facsímil</v>
      </c>
      <c r="K2745" s="3" t="s">
        <v>38</v>
      </c>
    </row>
    <row r="2746" spans="1:11" ht="42" customHeight="1">
      <c r="A2746" s="2" t="s">
        <v>6540</v>
      </c>
      <c r="B2746" s="2" t="s">
        <v>6541</v>
      </c>
      <c r="C2746" s="2" t="s">
        <v>26</v>
      </c>
      <c r="D2746" s="2" t="s">
        <v>27</v>
      </c>
      <c r="E2746" s="5">
        <v>-29612</v>
      </c>
      <c r="F2746" s="3" t="s">
        <v>1765</v>
      </c>
      <c r="G2746" s="3" t="s">
        <v>3754</v>
      </c>
      <c r="H2746" s="2" t="s">
        <v>36</v>
      </c>
      <c r="I2746" s="2" t="s">
        <v>6542</v>
      </c>
      <c r="J2746" s="3" t="str">
        <f>HYPERLINK("https://www.boe.es/gazeta/dias/1818/12/03/pdfs/GMD-1818-146.pdf#page=6","Abrir facsímil")</f>
        <v>Abrir facsímil</v>
      </c>
      <c r="K2746" s="3" t="s">
        <v>38</v>
      </c>
    </row>
    <row r="2747" spans="1:11" ht="42" customHeight="1">
      <c r="A2747" s="2" t="s">
        <v>6543</v>
      </c>
      <c r="B2747" s="2" t="s">
        <v>6543</v>
      </c>
      <c r="C2747" s="2" t="s">
        <v>26</v>
      </c>
      <c r="D2747" s="2" t="s">
        <v>27</v>
      </c>
      <c r="E2747" s="5">
        <v>-29932</v>
      </c>
      <c r="F2747" s="3" t="s">
        <v>34</v>
      </c>
      <c r="G2747" s="3" t="s">
        <v>5864</v>
      </c>
      <c r="H2747" s="2" t="s">
        <v>36</v>
      </c>
      <c r="I2747" s="2" t="s">
        <v>6544</v>
      </c>
      <c r="J2747" s="3" t="str">
        <f>HYPERLINK("https://www.boe.es/gazeta/dias/1818/01/17/pdfs/GMD-1818-8.pdf#page=1","Abrir facsímil")</f>
        <v>Abrir facsímil</v>
      </c>
      <c r="K2747" s="3" t="s">
        <v>38</v>
      </c>
    </row>
    <row r="2748" spans="1:11" ht="42" customHeight="1">
      <c r="A2748" s="2" t="s">
        <v>6545</v>
      </c>
      <c r="B2748" s="2" t="s">
        <v>6545</v>
      </c>
      <c r="C2748" s="2" t="s">
        <v>17</v>
      </c>
      <c r="D2748" s="2" t="s">
        <v>18</v>
      </c>
      <c r="E2748" s="5">
        <v>-29654</v>
      </c>
      <c r="F2748" s="3" t="s">
        <v>219</v>
      </c>
      <c r="G2748" s="3" t="s">
        <v>873</v>
      </c>
      <c r="H2748" s="2" t="s">
        <v>36</v>
      </c>
      <c r="I2748" s="2" t="s">
        <v>6546</v>
      </c>
      <c r="J2748" s="3" t="str">
        <f>HYPERLINK("https://www.boe.es/gazeta/dias/1818/10/22/pdfs/GMD-1818-128.pdf#page=5","Abrir facsímil")</f>
        <v>Abrir facsímil</v>
      </c>
      <c r="K2748" s="3" t="s">
        <v>38</v>
      </c>
    </row>
    <row r="2749" spans="1:11" ht="42" customHeight="1">
      <c r="A2749" s="2" t="s">
        <v>6547</v>
      </c>
      <c r="B2749" s="2" t="s">
        <v>6547</v>
      </c>
      <c r="C2749" s="2" t="s">
        <v>26</v>
      </c>
      <c r="D2749" s="2" t="s">
        <v>27</v>
      </c>
      <c r="E2749" s="5">
        <v>-29890</v>
      </c>
      <c r="F2749" s="3" t="s">
        <v>393</v>
      </c>
      <c r="G2749" s="3" t="s">
        <v>85</v>
      </c>
      <c r="H2749" s="2" t="s">
        <v>36</v>
      </c>
      <c r="I2749" s="2" t="s">
        <v>6548</v>
      </c>
      <c r="J2749" s="3" t="str">
        <f>HYPERLINK("https://www.boe.es/gazeta/dias/1818/02/28/pdfs/GMD-1818-26.pdf#page=3","Abrir facsímil")</f>
        <v>Abrir facsímil</v>
      </c>
      <c r="K2749" s="3" t="s">
        <v>38</v>
      </c>
    </row>
    <row r="2750" spans="1:11" ht="42" customHeight="1">
      <c r="A2750" s="2" t="s">
        <v>6549</v>
      </c>
      <c r="B2750" s="2" t="s">
        <v>6549</v>
      </c>
      <c r="C2750" s="2" t="s">
        <v>26</v>
      </c>
      <c r="D2750" s="2" t="s">
        <v>27</v>
      </c>
      <c r="E2750" s="5">
        <v>-29892</v>
      </c>
      <c r="F2750" s="3" t="s">
        <v>39</v>
      </c>
      <c r="G2750" s="3" t="s">
        <v>106</v>
      </c>
      <c r="H2750" s="2" t="s">
        <v>36</v>
      </c>
      <c r="I2750" s="2" t="s">
        <v>6550</v>
      </c>
      <c r="J2750" s="3" t="str">
        <f>HYPERLINK("https://www.boe.es/gazeta/dias/1818/02/26/pdfs/GMD-1818-25.pdf#page=5","Abrir facsímil")</f>
        <v>Abrir facsímil</v>
      </c>
      <c r="K2750" s="3" t="s">
        <v>38</v>
      </c>
    </row>
    <row r="2751" spans="1:11" ht="42" customHeight="1">
      <c r="A2751" s="2" t="s">
        <v>6551</v>
      </c>
      <c r="B2751" s="2" t="s">
        <v>6552</v>
      </c>
      <c r="C2751" s="2" t="s">
        <v>26</v>
      </c>
      <c r="D2751" s="2" t="s">
        <v>27</v>
      </c>
      <c r="E2751" s="5">
        <v>-29892</v>
      </c>
      <c r="F2751" s="3" t="s">
        <v>39</v>
      </c>
      <c r="G2751" s="3" t="s">
        <v>106</v>
      </c>
      <c r="H2751" s="2" t="s">
        <v>36</v>
      </c>
      <c r="I2751" s="2" t="s">
        <v>6553</v>
      </c>
      <c r="J2751" s="3" t="str">
        <f>HYPERLINK("https://www.boe.es/gazeta/dias/1818/02/26/pdfs/GMD-1818-25.pdf#page=5","Abrir facsímil")</f>
        <v>Abrir facsímil</v>
      </c>
      <c r="K2751" s="3" t="s">
        <v>38</v>
      </c>
    </row>
    <row r="2752" spans="1:11" ht="42" customHeight="1">
      <c r="A2752" s="2" t="s">
        <v>6554</v>
      </c>
      <c r="B2752" s="2" t="s">
        <v>6555</v>
      </c>
      <c r="C2752" s="2" t="s">
        <v>63</v>
      </c>
      <c r="D2752" s="2" t="s">
        <v>18</v>
      </c>
      <c r="E2752" s="5">
        <v>-29603</v>
      </c>
      <c r="F2752" s="3" t="s">
        <v>647</v>
      </c>
      <c r="G2752" s="3" t="s">
        <v>45</v>
      </c>
      <c r="H2752" s="2" t="s">
        <v>21</v>
      </c>
      <c r="I2752" s="2" t="s">
        <v>6556</v>
      </c>
      <c r="J2752" s="3" t="str">
        <f>HYPERLINK("https://www.boe.es/gazeta/dias/1818/12/12/pdfs/GMD-1818-150.pdf#page=8","Abrir facsímil")</f>
        <v>Abrir facsímil</v>
      </c>
      <c r="K2752" s="3" t="s">
        <v>23</v>
      </c>
    </row>
    <row r="2753" spans="1:11" ht="42" customHeight="1">
      <c r="A2753" s="2" t="s">
        <v>6557</v>
      </c>
      <c r="B2753" s="2" t="s">
        <v>6558</v>
      </c>
      <c r="C2753" s="2" t="s">
        <v>63</v>
      </c>
      <c r="D2753" s="2" t="s">
        <v>18</v>
      </c>
      <c r="E2753" s="5">
        <v>-29808</v>
      </c>
      <c r="F2753" s="3" t="s">
        <v>80</v>
      </c>
      <c r="G2753" s="3" t="s">
        <v>106</v>
      </c>
      <c r="H2753" s="2" t="s">
        <v>36</v>
      </c>
      <c r="I2753" s="2" t="s">
        <v>6559</v>
      </c>
      <c r="J2753" s="3" t="str">
        <f>HYPERLINK("https://www.boe.es/gazeta/dias/1818/05/21/pdfs/GMD-1818-61.pdf#page=5","Abrir facsímil")</f>
        <v>Abrir facsímil</v>
      </c>
      <c r="K2753" s="3" t="s">
        <v>38</v>
      </c>
    </row>
    <row r="2754" spans="1:11" ht="42" customHeight="1">
      <c r="A2754" s="2" t="s">
        <v>6560</v>
      </c>
      <c r="B2754" s="2" t="s">
        <v>6560</v>
      </c>
      <c r="C2754" s="2" t="s">
        <v>33</v>
      </c>
      <c r="D2754" s="2" t="s">
        <v>18</v>
      </c>
      <c r="E2754" s="5">
        <v>-29941</v>
      </c>
      <c r="F2754" s="3" t="s">
        <v>2259</v>
      </c>
      <c r="G2754" s="3" t="s">
        <v>120</v>
      </c>
      <c r="H2754" s="2" t="s">
        <v>36</v>
      </c>
      <c r="I2754" s="2" t="s">
        <v>6561</v>
      </c>
      <c r="J2754" s="3" t="str">
        <f>HYPERLINK("https://www.boe.es/gazeta/dias/1818/01/08/pdfs/GMD-1818-4.pdf#page=2","Abrir facsímil")</f>
        <v>Abrir facsímil</v>
      </c>
      <c r="K2754" s="3" t="s">
        <v>38</v>
      </c>
    </row>
    <row r="2755" spans="1:11" ht="42" customHeight="1">
      <c r="A2755" s="2" t="s">
        <v>6562</v>
      </c>
      <c r="B2755" s="2" t="s">
        <v>6563</v>
      </c>
      <c r="C2755" s="2" t="s">
        <v>26</v>
      </c>
      <c r="D2755" s="2" t="s">
        <v>27</v>
      </c>
      <c r="E2755" s="5">
        <v>-29715</v>
      </c>
      <c r="F2755" s="3" t="s">
        <v>208</v>
      </c>
      <c r="G2755" s="3" t="s">
        <v>29</v>
      </c>
      <c r="H2755" s="2" t="s">
        <v>36</v>
      </c>
      <c r="I2755" s="2" t="s">
        <v>6564</v>
      </c>
      <c r="J2755" s="3" t="str">
        <f>HYPERLINK("https://www.boe.es/gazeta/dias/1818/08/22/pdfs/GMD-1818-101.pdf#page=4","Abrir facsímil")</f>
        <v>Abrir facsímil</v>
      </c>
      <c r="K2755" s="3" t="s">
        <v>38</v>
      </c>
    </row>
    <row r="2756" spans="1:11" ht="42" customHeight="1">
      <c r="A2756" s="2" t="s">
        <v>6565</v>
      </c>
      <c r="B2756" s="2" t="s">
        <v>6566</v>
      </c>
      <c r="C2756" s="2" t="s">
        <v>17</v>
      </c>
      <c r="D2756" s="2" t="s">
        <v>18</v>
      </c>
      <c r="E2756" s="5">
        <v>-29925</v>
      </c>
      <c r="F2756" s="3" t="s">
        <v>447</v>
      </c>
      <c r="G2756" s="3" t="s">
        <v>106</v>
      </c>
      <c r="H2756" s="2" t="s">
        <v>36</v>
      </c>
      <c r="I2756" s="2" t="s">
        <v>6567</v>
      </c>
      <c r="J2756" s="3" t="str">
        <f>HYPERLINK("https://www.boe.es/gazeta/dias/1818/01/24/pdfs/GMD-1818-11.pdf#page=5","Abrir facsímil")</f>
        <v>Abrir facsímil</v>
      </c>
      <c r="K2756" s="3" t="s">
        <v>38</v>
      </c>
    </row>
    <row r="2757" spans="1:11" ht="42" customHeight="1">
      <c r="A2757" s="2" t="s">
        <v>6568</v>
      </c>
      <c r="B2757" s="2" t="s">
        <v>6569</v>
      </c>
      <c r="C2757" s="2" t="s">
        <v>26</v>
      </c>
      <c r="D2757" s="2" t="s">
        <v>27</v>
      </c>
      <c r="E2757" s="5">
        <v>-29887</v>
      </c>
      <c r="F2757" s="3" t="s">
        <v>613</v>
      </c>
      <c r="G2757" s="3" t="s">
        <v>59</v>
      </c>
      <c r="H2757" s="2" t="s">
        <v>36</v>
      </c>
      <c r="I2757" s="2" t="s">
        <v>6570</v>
      </c>
      <c r="J2757" s="3" t="str">
        <f>HYPERLINK("https://www.boe.es/gazeta/dias/1818/03/03/pdfs/GMD-1818-27.pdf#page=6","Abrir facsímil")</f>
        <v>Abrir facsímil</v>
      </c>
      <c r="K2757" s="3" t="s">
        <v>38</v>
      </c>
    </row>
    <row r="2758" spans="1:11" ht="42" customHeight="1">
      <c r="A2758" s="2" t="s">
        <v>6568</v>
      </c>
      <c r="B2758" s="2" t="s">
        <v>6569</v>
      </c>
      <c r="C2758" s="2" t="s">
        <v>26</v>
      </c>
      <c r="D2758" s="2" t="s">
        <v>27</v>
      </c>
      <c r="E2758" s="5">
        <v>-29649</v>
      </c>
      <c r="F2758" s="3" t="s">
        <v>585</v>
      </c>
      <c r="G2758" s="3" t="s">
        <v>106</v>
      </c>
      <c r="H2758" s="2" t="s">
        <v>36</v>
      </c>
      <c r="I2758" s="2" t="s">
        <v>6571</v>
      </c>
      <c r="J2758" s="3" t="str">
        <f>HYPERLINK("https://www.boe.es/gazeta/dias/1818/10/27/pdfs/GMD-1818-130.pdf#page=5","Abrir facsímil")</f>
        <v>Abrir facsímil</v>
      </c>
      <c r="K2758" s="3" t="s">
        <v>38</v>
      </c>
    </row>
    <row r="2759" spans="1:11" ht="42" customHeight="1">
      <c r="A2759" s="2" t="s">
        <v>6572</v>
      </c>
      <c r="B2759" s="2" t="s">
        <v>6572</v>
      </c>
      <c r="C2759" s="2" t="s">
        <v>68</v>
      </c>
      <c r="D2759" s="2" t="s">
        <v>69</v>
      </c>
      <c r="E2759" s="5">
        <v>-29845</v>
      </c>
      <c r="F2759" s="3" t="s">
        <v>105</v>
      </c>
      <c r="G2759" s="3" t="s">
        <v>2222</v>
      </c>
      <c r="H2759" s="2" t="s">
        <v>36</v>
      </c>
      <c r="I2759" s="2" t="s">
        <v>6573</v>
      </c>
      <c r="J2759" s="3" t="str">
        <f>HYPERLINK("https://www.boe.es/gazeta/dias/1818/04/14/pdfs/GMD-1818-45.pdf#page=2","Abrir facsímil")</f>
        <v>Abrir facsímil</v>
      </c>
      <c r="K2759" s="3" t="s">
        <v>38</v>
      </c>
    </row>
    <row r="2760" spans="1:11" ht="42" customHeight="1">
      <c r="A2760" s="2" t="s">
        <v>6574</v>
      </c>
      <c r="B2760" s="2" t="s">
        <v>6575</v>
      </c>
      <c r="C2760" s="2" t="s">
        <v>26</v>
      </c>
      <c r="D2760" s="2" t="s">
        <v>27</v>
      </c>
      <c r="E2760" s="5">
        <v>-29738</v>
      </c>
      <c r="F2760" s="3" t="s">
        <v>263</v>
      </c>
      <c r="G2760" s="3" t="s">
        <v>20</v>
      </c>
      <c r="H2760" s="2" t="s">
        <v>36</v>
      </c>
      <c r="I2760" s="2" t="s">
        <v>6576</v>
      </c>
      <c r="J2760" s="3" t="str">
        <f>HYPERLINK("https://www.boe.es/gazeta/dias/1818/07/30/pdfs/GMD-1818-91.pdf#page=7","Abrir facsímil")</f>
        <v>Abrir facsímil</v>
      </c>
      <c r="K2760" s="3" t="s">
        <v>38</v>
      </c>
    </row>
    <row r="2761" spans="1:11" ht="42" customHeight="1">
      <c r="A2761" s="2" t="s">
        <v>6574</v>
      </c>
      <c r="B2761" s="2" t="s">
        <v>6575</v>
      </c>
      <c r="C2761" s="2" t="s">
        <v>26</v>
      </c>
      <c r="D2761" s="2" t="s">
        <v>27</v>
      </c>
      <c r="E2761" s="5">
        <v>-29719</v>
      </c>
      <c r="F2761" s="3" t="s">
        <v>243</v>
      </c>
      <c r="G2761" s="3" t="s">
        <v>59</v>
      </c>
      <c r="H2761" s="2" t="s">
        <v>36</v>
      </c>
      <c r="I2761" s="2" t="s">
        <v>6577</v>
      </c>
      <c r="J2761" s="3" t="str">
        <f>HYPERLINK("https://www.boe.es/gazeta/dias/1818/08/18/pdfs/GMD-1818-99.pdf#page=6","Abrir facsímil")</f>
        <v>Abrir facsímil</v>
      </c>
      <c r="K2761" s="3" t="s">
        <v>38</v>
      </c>
    </row>
    <row r="2762" spans="1:11" ht="42" customHeight="1">
      <c r="A2762" s="2" t="s">
        <v>6578</v>
      </c>
      <c r="B2762" s="2" t="s">
        <v>6579</v>
      </c>
      <c r="C2762" s="2" t="s">
        <v>26</v>
      </c>
      <c r="D2762" s="2" t="s">
        <v>27</v>
      </c>
      <c r="E2762" s="5">
        <v>-29782</v>
      </c>
      <c r="F2762" s="3" t="s">
        <v>226</v>
      </c>
      <c r="G2762" s="3" t="s">
        <v>20</v>
      </c>
      <c r="H2762" s="2" t="s">
        <v>36</v>
      </c>
      <c r="I2762" s="2" t="s">
        <v>6580</v>
      </c>
      <c r="J2762" s="3" t="str">
        <f>HYPERLINK("https://www.boe.es/gazeta/dias/1818/06/16/pdfs/GMD-1818-72.pdf#page=7","Abrir facsímil")</f>
        <v>Abrir facsímil</v>
      </c>
      <c r="K2762" s="3" t="s">
        <v>38</v>
      </c>
    </row>
    <row r="2763" spans="1:11" ht="42" customHeight="1">
      <c r="A2763" s="2" t="s">
        <v>6581</v>
      </c>
      <c r="B2763" s="2" t="s">
        <v>6582</v>
      </c>
      <c r="C2763" s="2" t="s">
        <v>68</v>
      </c>
      <c r="D2763" s="2" t="s">
        <v>69</v>
      </c>
      <c r="E2763" s="5">
        <v>-29785</v>
      </c>
      <c r="F2763" s="3" t="s">
        <v>1031</v>
      </c>
      <c r="G2763" s="3" t="s">
        <v>20</v>
      </c>
      <c r="H2763" s="2" t="s">
        <v>36</v>
      </c>
      <c r="I2763" s="2" t="s">
        <v>6583</v>
      </c>
      <c r="J2763" s="3" t="str">
        <f>HYPERLINK("https://www.boe.es/gazeta/dias/1818/06/13/pdfs/GMD-1818-71.pdf#page=7","Abrir facsímil")</f>
        <v>Abrir facsímil</v>
      </c>
      <c r="K2763" s="3" t="s">
        <v>38</v>
      </c>
    </row>
    <row r="2764" spans="1:11" ht="42" customHeight="1">
      <c r="A2764" s="2" t="s">
        <v>6584</v>
      </c>
      <c r="B2764" s="2" t="s">
        <v>6585</v>
      </c>
      <c r="C2764" s="2" t="s">
        <v>68</v>
      </c>
      <c r="D2764" s="2" t="s">
        <v>69</v>
      </c>
      <c r="E2764" s="5">
        <v>-29766</v>
      </c>
      <c r="F2764" s="3" t="s">
        <v>276</v>
      </c>
      <c r="G2764" s="3" t="s">
        <v>45</v>
      </c>
      <c r="H2764" s="2" t="s">
        <v>36</v>
      </c>
      <c r="I2764" s="2" t="s">
        <v>6586</v>
      </c>
      <c r="J2764" s="3" t="str">
        <f>HYPERLINK("https://www.boe.es/gazeta/dias/1818/07/02/pdfs/GMD-1818-79.pdf#page=8","Abrir facsímil")</f>
        <v>Abrir facsímil</v>
      </c>
      <c r="K2764" s="3" t="s">
        <v>38</v>
      </c>
    </row>
    <row r="2765" spans="1:11" ht="42" customHeight="1">
      <c r="A2765" s="2" t="s">
        <v>6587</v>
      </c>
      <c r="B2765" s="2" t="s">
        <v>6587</v>
      </c>
      <c r="C2765" s="2" t="s">
        <v>26</v>
      </c>
      <c r="D2765" s="2" t="s">
        <v>27</v>
      </c>
      <c r="E2765" s="5">
        <v>-29696</v>
      </c>
      <c r="F2765" s="3" t="s">
        <v>1716</v>
      </c>
      <c r="G2765" s="3" t="s">
        <v>45</v>
      </c>
      <c r="H2765" s="2" t="s">
        <v>36</v>
      </c>
      <c r="I2765" s="2" t="s">
        <v>6588</v>
      </c>
      <c r="J2765" s="3" t="str">
        <f>HYPERLINK("https://www.boe.es/gazeta/dias/1818/09/10/pdfs/GMD-1818-109.pdf#page=8","Abrir facsímil")</f>
        <v>Abrir facsímil</v>
      </c>
      <c r="K2765" s="3" t="s">
        <v>38</v>
      </c>
    </row>
    <row r="2766" spans="1:11" ht="42" customHeight="1">
      <c r="A2766" s="2" t="s">
        <v>6587</v>
      </c>
      <c r="B2766" s="2" t="s">
        <v>6587</v>
      </c>
      <c r="C2766" s="2" t="s">
        <v>17</v>
      </c>
      <c r="D2766" s="2" t="s">
        <v>18</v>
      </c>
      <c r="E2766" s="5">
        <v>-29677</v>
      </c>
      <c r="F2766" s="3" t="s">
        <v>157</v>
      </c>
      <c r="G2766" s="3" t="s">
        <v>158</v>
      </c>
      <c r="H2766" s="2" t="s">
        <v>36</v>
      </c>
      <c r="I2766" s="2" t="s">
        <v>6589</v>
      </c>
      <c r="J2766" s="3" t="str">
        <f>HYPERLINK("https://www.boe.es/gazeta/dias/1818/09/29/pdfs/GMD-1818-117.pdf#page=8","Abrir facsímil")</f>
        <v>Abrir facsímil</v>
      </c>
      <c r="K2766" s="3" t="s">
        <v>38</v>
      </c>
    </row>
    <row r="2767" spans="1:11" ht="42" customHeight="1">
      <c r="A2767" s="2" t="s">
        <v>6590</v>
      </c>
      <c r="B2767" s="2" t="s">
        <v>6591</v>
      </c>
      <c r="C2767" s="2" t="s">
        <v>26</v>
      </c>
      <c r="D2767" s="2" t="s">
        <v>27</v>
      </c>
      <c r="E2767" s="5">
        <v>-29913</v>
      </c>
      <c r="F2767" s="3" t="s">
        <v>449</v>
      </c>
      <c r="G2767" s="3" t="s">
        <v>20</v>
      </c>
      <c r="H2767" s="2" t="s">
        <v>36</v>
      </c>
      <c r="I2767" s="2" t="s">
        <v>6592</v>
      </c>
      <c r="J2767" s="3" t="str">
        <f>HYPERLINK("https://www.boe.es/gazeta/dias/1818/02/05/pdfs/GMD-1818-16.pdf#page=7","Abrir facsímil")</f>
        <v>Abrir facsímil</v>
      </c>
      <c r="K2767" s="3" t="s">
        <v>38</v>
      </c>
    </row>
    <row r="2768" spans="1:11" ht="42" customHeight="1">
      <c r="A2768" s="2" t="s">
        <v>6593</v>
      </c>
      <c r="B2768" s="2" t="s">
        <v>6594</v>
      </c>
      <c r="C2768" s="2" t="s">
        <v>68</v>
      </c>
      <c r="D2768" s="2" t="s">
        <v>69</v>
      </c>
      <c r="E2768" s="5">
        <v>-29649</v>
      </c>
      <c r="F2768" s="3" t="s">
        <v>585</v>
      </c>
      <c r="G2768" s="3" t="s">
        <v>45</v>
      </c>
      <c r="H2768" s="2" t="s">
        <v>36</v>
      </c>
      <c r="I2768" s="2" t="s">
        <v>6595</v>
      </c>
      <c r="J2768" s="3" t="str">
        <f>HYPERLINK("https://www.boe.es/gazeta/dias/1818/10/27/pdfs/GMD-1818-130.pdf#page=8","Abrir facsímil")</f>
        <v>Abrir facsímil</v>
      </c>
      <c r="K2768" s="3" t="s">
        <v>38</v>
      </c>
    </row>
    <row r="2769" spans="1:11" ht="42" customHeight="1">
      <c r="A2769" s="2" t="s">
        <v>6596</v>
      </c>
      <c r="B2769" s="2" t="s">
        <v>6597</v>
      </c>
      <c r="C2769" s="2" t="s">
        <v>26</v>
      </c>
      <c r="D2769" s="2" t="s">
        <v>27</v>
      </c>
      <c r="E2769" s="5">
        <v>-29939</v>
      </c>
      <c r="F2769" s="3" t="s">
        <v>110</v>
      </c>
      <c r="G2769" s="3" t="s">
        <v>1111</v>
      </c>
      <c r="H2769" s="2" t="s">
        <v>36</v>
      </c>
      <c r="I2769" s="2" t="s">
        <v>6598</v>
      </c>
      <c r="J2769" s="3" t="str">
        <f>HYPERLINK("https://www.boe.es/gazeta/dias/1818/01/10/pdfs/GMD-1818-5.pdf#page=5","Abrir facsímil")</f>
        <v>Abrir facsímil</v>
      </c>
      <c r="K2769" s="3" t="s">
        <v>38</v>
      </c>
    </row>
    <row r="2770" spans="1:11" ht="42" customHeight="1">
      <c r="A2770" s="2" t="s">
        <v>6596</v>
      </c>
      <c r="B2770" s="2" t="s">
        <v>6597</v>
      </c>
      <c r="C2770" s="2" t="s">
        <v>26</v>
      </c>
      <c r="D2770" s="2" t="s">
        <v>27</v>
      </c>
      <c r="E2770" s="5">
        <v>-29939</v>
      </c>
      <c r="F2770" s="3" t="s">
        <v>110</v>
      </c>
      <c r="G2770" s="3" t="s">
        <v>933</v>
      </c>
      <c r="H2770" s="2" t="s">
        <v>36</v>
      </c>
      <c r="I2770" s="2" t="s">
        <v>6599</v>
      </c>
      <c r="J2770" s="3" t="str">
        <f>HYPERLINK("https://www.boe.es/gazeta/dias/1818/01/10/pdfs/GMD-1818-5.pdf#page=9","Abrir facsímil")</f>
        <v>Abrir facsímil</v>
      </c>
      <c r="K2770" s="3" t="s">
        <v>38</v>
      </c>
    </row>
    <row r="2771" spans="1:11" ht="42" customHeight="1">
      <c r="A2771" s="2" t="s">
        <v>6600</v>
      </c>
      <c r="B2771" s="2" t="s">
        <v>6600</v>
      </c>
      <c r="C2771" s="2" t="s">
        <v>57</v>
      </c>
      <c r="D2771" s="2" t="s">
        <v>18</v>
      </c>
      <c r="E2771" s="5">
        <v>-29817</v>
      </c>
      <c r="F2771" s="3" t="s">
        <v>284</v>
      </c>
      <c r="G2771" s="3" t="s">
        <v>120</v>
      </c>
      <c r="H2771" s="2" t="s">
        <v>36</v>
      </c>
      <c r="I2771" s="2" t="s">
        <v>6601</v>
      </c>
      <c r="J2771" s="3" t="str">
        <f>HYPERLINK("https://www.boe.es/gazeta/dias/1818/05/12/pdfs/GMD-1818-57.pdf#page=2","Abrir facsímil")</f>
        <v>Abrir facsímil</v>
      </c>
      <c r="K2771" s="3" t="s">
        <v>38</v>
      </c>
    </row>
    <row r="2772" spans="1:11" ht="42" customHeight="1">
      <c r="A2772" s="2" t="s">
        <v>6600</v>
      </c>
      <c r="B2772" s="2" t="s">
        <v>6600</v>
      </c>
      <c r="C2772" s="2" t="s">
        <v>215</v>
      </c>
      <c r="D2772" s="2" t="s">
        <v>18</v>
      </c>
      <c r="E2772" s="5">
        <v>-29792</v>
      </c>
      <c r="F2772" s="3" t="s">
        <v>948</v>
      </c>
      <c r="G2772" s="3" t="s">
        <v>29</v>
      </c>
      <c r="H2772" s="2" t="s">
        <v>36</v>
      </c>
      <c r="I2772" s="2" t="s">
        <v>6602</v>
      </c>
      <c r="J2772" s="3" t="str">
        <f>HYPERLINK("https://www.boe.es/gazeta/dias/1818/06/06/pdfs/GMD-1818-68.pdf#page=4","Abrir facsímil")</f>
        <v>Abrir facsímil</v>
      </c>
      <c r="K2772" s="3" t="s">
        <v>38</v>
      </c>
    </row>
    <row r="2773" spans="1:11" ht="42" customHeight="1">
      <c r="A2773" s="2" t="s">
        <v>6603</v>
      </c>
      <c r="B2773" s="2" t="s">
        <v>6604</v>
      </c>
      <c r="C2773" s="2" t="s">
        <v>26</v>
      </c>
      <c r="D2773" s="2" t="s">
        <v>27</v>
      </c>
      <c r="E2773" s="5">
        <v>-29897</v>
      </c>
      <c r="F2773" s="3" t="s">
        <v>318</v>
      </c>
      <c r="G2773" s="3" t="s">
        <v>29</v>
      </c>
      <c r="H2773" s="2" t="s">
        <v>36</v>
      </c>
      <c r="I2773" s="2" t="s">
        <v>6605</v>
      </c>
      <c r="J2773" s="3" t="str">
        <f>HYPERLINK("https://www.boe.es/gazeta/dias/1818/02/21/pdfs/GMD-1818-23.pdf#page=4","Abrir facsímil")</f>
        <v>Abrir facsímil</v>
      </c>
      <c r="K2773" s="3" t="s">
        <v>38</v>
      </c>
    </row>
    <row r="2774" spans="1:11" ht="42" customHeight="1">
      <c r="A2774" s="2" t="s">
        <v>6606</v>
      </c>
      <c r="B2774" s="2" t="s">
        <v>6607</v>
      </c>
      <c r="C2774" s="2" t="s">
        <v>17</v>
      </c>
      <c r="D2774" s="2" t="s">
        <v>18</v>
      </c>
      <c r="E2774" s="5">
        <v>-29824</v>
      </c>
      <c r="F2774" s="3" t="s">
        <v>101</v>
      </c>
      <c r="G2774" s="3" t="s">
        <v>20</v>
      </c>
      <c r="H2774" s="2" t="s">
        <v>36</v>
      </c>
      <c r="I2774" s="2" t="s">
        <v>6608</v>
      </c>
      <c r="J2774" s="3" t="str">
        <f>HYPERLINK("https://www.boe.es/gazeta/dias/1818/05/05/pdfs/GMD-1818-54.pdf#page=7","Abrir facsímil")</f>
        <v>Abrir facsímil</v>
      </c>
      <c r="K2774" s="3" t="s">
        <v>38</v>
      </c>
    </row>
    <row r="2775" spans="1:11" ht="42" customHeight="1">
      <c r="A2775" s="2" t="s">
        <v>6609</v>
      </c>
      <c r="B2775" s="2" t="s">
        <v>6610</v>
      </c>
      <c r="C2775" s="2" t="s">
        <v>26</v>
      </c>
      <c r="D2775" s="2" t="s">
        <v>27</v>
      </c>
      <c r="E2775" s="5">
        <v>-29897</v>
      </c>
      <c r="F2775" s="3" t="s">
        <v>318</v>
      </c>
      <c r="G2775" s="3" t="s">
        <v>106</v>
      </c>
      <c r="H2775" s="2" t="s">
        <v>36</v>
      </c>
      <c r="I2775" s="2" t="s">
        <v>6611</v>
      </c>
      <c r="J2775" s="3" t="str">
        <f>HYPERLINK("https://www.boe.es/gazeta/dias/1818/02/21/pdfs/GMD-1818-23.pdf#page=5","Abrir facsímil")</f>
        <v>Abrir facsímil</v>
      </c>
      <c r="K2775" s="3" t="s">
        <v>38</v>
      </c>
    </row>
    <row r="2776" spans="1:11" ht="42" customHeight="1">
      <c r="A2776" s="2" t="s">
        <v>6612</v>
      </c>
      <c r="B2776" s="2" t="s">
        <v>6613</v>
      </c>
      <c r="C2776" s="2" t="s">
        <v>17</v>
      </c>
      <c r="D2776" s="2" t="s">
        <v>18</v>
      </c>
      <c r="E2776" s="5">
        <v>-29684</v>
      </c>
      <c r="F2776" s="3" t="s">
        <v>311</v>
      </c>
      <c r="G2776" s="3" t="s">
        <v>20</v>
      </c>
      <c r="H2776" s="2" t="s">
        <v>36</v>
      </c>
      <c r="I2776" s="2" t="s">
        <v>6614</v>
      </c>
      <c r="J2776" s="3" t="str">
        <f>HYPERLINK("https://www.boe.es/gazeta/dias/1818/09/22/pdfs/GMD-1818-114.pdf#page=7","Abrir facsímil")</f>
        <v>Abrir facsímil</v>
      </c>
      <c r="K2776" s="3" t="s">
        <v>38</v>
      </c>
    </row>
    <row r="2777" spans="1:11" ht="42" customHeight="1">
      <c r="A2777" s="2" t="s">
        <v>6615</v>
      </c>
      <c r="B2777" s="2" t="s">
        <v>6616</v>
      </c>
      <c r="C2777" s="2" t="s">
        <v>26</v>
      </c>
      <c r="D2777" s="2" t="s">
        <v>668</v>
      </c>
      <c r="E2777" s="5">
        <v>-29661</v>
      </c>
      <c r="F2777" s="3" t="s">
        <v>669</v>
      </c>
      <c r="G2777" s="3" t="s">
        <v>85</v>
      </c>
      <c r="H2777" s="2" t="s">
        <v>36</v>
      </c>
      <c r="I2777" s="2" t="s">
        <v>6617</v>
      </c>
      <c r="J2777" s="3" t="str">
        <f>HYPERLINK("https://www.boe.es/gazeta/dias/1818/10/15/pdfs/GMD-1818-125E.pdf#page=3","Abrir facsímil")</f>
        <v>Abrir facsímil</v>
      </c>
      <c r="K2777" s="3" t="s">
        <v>38</v>
      </c>
    </row>
    <row r="2778" spans="1:11" ht="42" customHeight="1">
      <c r="A2778" s="2" t="s">
        <v>6618</v>
      </c>
      <c r="B2778" s="2" t="s">
        <v>6619</v>
      </c>
      <c r="C2778" s="2" t="s">
        <v>17</v>
      </c>
      <c r="D2778" s="2" t="s">
        <v>18</v>
      </c>
      <c r="E2778" s="5">
        <v>-29906</v>
      </c>
      <c r="F2778" s="3" t="s">
        <v>28</v>
      </c>
      <c r="G2778" s="3" t="s">
        <v>20</v>
      </c>
      <c r="H2778" s="2" t="s">
        <v>36</v>
      </c>
      <c r="I2778" s="2" t="s">
        <v>6620</v>
      </c>
      <c r="J2778" s="3" t="str">
        <f>HYPERLINK("https://www.boe.es/gazeta/dias/1818/02/12/pdfs/GMD-1818-19.pdf#page=7","Abrir facsímil")</f>
        <v>Abrir facsímil</v>
      </c>
      <c r="K2778" s="3" t="s">
        <v>38</v>
      </c>
    </row>
    <row r="2779" spans="1:11" ht="42" customHeight="1">
      <c r="A2779" s="2" t="s">
        <v>6621</v>
      </c>
      <c r="B2779" s="2" t="s">
        <v>6622</v>
      </c>
      <c r="C2779" s="2" t="s">
        <v>26</v>
      </c>
      <c r="D2779" s="2" t="s">
        <v>27</v>
      </c>
      <c r="E2779" s="5">
        <v>-29920</v>
      </c>
      <c r="F2779" s="3" t="s">
        <v>201</v>
      </c>
      <c r="G2779" s="3" t="s">
        <v>111</v>
      </c>
      <c r="H2779" s="2" t="s">
        <v>36</v>
      </c>
      <c r="I2779" s="2" t="s">
        <v>6623</v>
      </c>
      <c r="J2779" s="3" t="str">
        <f>HYPERLINK("https://www.boe.es/gazeta/dias/1818/01/29/pdfs/GMD-1818-13.pdf#page=11","Abrir facsímil")</f>
        <v>Abrir facsímil</v>
      </c>
      <c r="K2779" s="3" t="s">
        <v>38</v>
      </c>
    </row>
    <row r="2780" spans="1:11" ht="42" customHeight="1">
      <c r="A2780" s="2" t="s">
        <v>6621</v>
      </c>
      <c r="B2780" s="2" t="s">
        <v>6622</v>
      </c>
      <c r="C2780" s="2" t="s">
        <v>26</v>
      </c>
      <c r="D2780" s="2" t="s">
        <v>27</v>
      </c>
      <c r="E2780" s="5">
        <v>-29920</v>
      </c>
      <c r="F2780" s="3" t="s">
        <v>201</v>
      </c>
      <c r="G2780" s="3" t="s">
        <v>106</v>
      </c>
      <c r="H2780" s="2" t="s">
        <v>36</v>
      </c>
      <c r="I2780" s="2" t="s">
        <v>6624</v>
      </c>
      <c r="J2780" s="3" t="str">
        <f>HYPERLINK("https://www.boe.es/gazeta/dias/1818/01/29/pdfs/GMD-1818-13.pdf#page=5","Abrir facsímil")</f>
        <v>Abrir facsímil</v>
      </c>
      <c r="K2780" s="3" t="s">
        <v>38</v>
      </c>
    </row>
    <row r="2781" spans="1:11" ht="42" customHeight="1">
      <c r="A2781" s="2" t="s">
        <v>6625</v>
      </c>
      <c r="B2781" s="2" t="s">
        <v>6626</v>
      </c>
      <c r="C2781" s="2" t="s">
        <v>17</v>
      </c>
      <c r="D2781" s="2" t="s">
        <v>18</v>
      </c>
      <c r="E2781" s="5">
        <v>-29680</v>
      </c>
      <c r="F2781" s="3" t="s">
        <v>865</v>
      </c>
      <c r="G2781" s="3" t="s">
        <v>20</v>
      </c>
      <c r="H2781" s="2" t="s">
        <v>36</v>
      </c>
      <c r="I2781" s="2" t="s">
        <v>6627</v>
      </c>
      <c r="J2781" s="3" t="str">
        <f>HYPERLINK("https://www.boe.es/gazeta/dias/1818/09/26/pdfs/GMD-1818-116.pdf#page=7","Abrir facsímil")</f>
        <v>Abrir facsímil</v>
      </c>
      <c r="K2781" s="3" t="s">
        <v>38</v>
      </c>
    </row>
    <row r="2782" spans="1:11" ht="42" customHeight="1">
      <c r="A2782" s="2" t="s">
        <v>6625</v>
      </c>
      <c r="B2782" s="2" t="s">
        <v>6626</v>
      </c>
      <c r="C2782" s="2" t="s">
        <v>68</v>
      </c>
      <c r="D2782" s="2" t="s">
        <v>69</v>
      </c>
      <c r="E2782" s="5">
        <v>-29607</v>
      </c>
      <c r="F2782" s="3" t="s">
        <v>704</v>
      </c>
      <c r="G2782" s="3" t="s">
        <v>2289</v>
      </c>
      <c r="H2782" s="2" t="s">
        <v>36</v>
      </c>
      <c r="I2782" s="2" t="s">
        <v>6628</v>
      </c>
      <c r="J2782" s="3" t="str">
        <f>HYPERLINK("https://www.boe.es/gazeta/dias/1818/12/08/pdfs/GMD-1818-148.pdf#page=8","Abrir facsímil")</f>
        <v>Abrir facsímil</v>
      </c>
      <c r="K2782" s="3" t="s">
        <v>38</v>
      </c>
    </row>
    <row r="2783" spans="1:11" ht="42" customHeight="1">
      <c r="A2783" s="2" t="s">
        <v>6629</v>
      </c>
      <c r="B2783" s="2" t="s">
        <v>6630</v>
      </c>
      <c r="C2783" s="2" t="s">
        <v>68</v>
      </c>
      <c r="D2783" s="2" t="s">
        <v>69</v>
      </c>
      <c r="E2783" s="5">
        <v>-29675</v>
      </c>
      <c r="F2783" s="3" t="s">
        <v>2314</v>
      </c>
      <c r="G2783" s="3" t="s">
        <v>45</v>
      </c>
      <c r="H2783" s="2" t="s">
        <v>36</v>
      </c>
      <c r="I2783" s="2" t="s">
        <v>6631</v>
      </c>
      <c r="J2783" s="3" t="str">
        <f>HYPERLINK("https://www.boe.es/gazeta/dias/1818/10/01/pdfs/GMD-1818-118.pdf#page=8","Abrir facsímil")</f>
        <v>Abrir facsímil</v>
      </c>
      <c r="K2783" s="3" t="s">
        <v>38</v>
      </c>
    </row>
    <row r="2784" spans="1:11" ht="42" customHeight="1">
      <c r="A2784" s="2" t="s">
        <v>6632</v>
      </c>
      <c r="B2784" s="2" t="s">
        <v>6633</v>
      </c>
      <c r="C2784" s="2" t="s">
        <v>17</v>
      </c>
      <c r="D2784" s="2" t="s">
        <v>18</v>
      </c>
      <c r="E2784" s="5">
        <v>-29680</v>
      </c>
      <c r="F2784" s="3" t="s">
        <v>865</v>
      </c>
      <c r="G2784" s="3" t="s">
        <v>45</v>
      </c>
      <c r="H2784" s="2" t="s">
        <v>21</v>
      </c>
      <c r="I2784" s="2" t="s">
        <v>6634</v>
      </c>
      <c r="J2784" s="3" t="str">
        <f>HYPERLINK("https://www.boe.es/gazeta/dias/1818/09/26/pdfs/GMD-1818-116.pdf#page=8","Abrir facsímil")</f>
        <v>Abrir facsímil</v>
      </c>
      <c r="K2784" s="3" t="s">
        <v>23</v>
      </c>
    </row>
    <row r="2785" spans="1:11" ht="42" customHeight="1">
      <c r="A2785" s="2" t="s">
        <v>6635</v>
      </c>
      <c r="B2785" s="2" t="s">
        <v>6636</v>
      </c>
      <c r="C2785" s="2" t="s">
        <v>17</v>
      </c>
      <c r="D2785" s="2" t="s">
        <v>18</v>
      </c>
      <c r="E2785" s="5">
        <v>-29794</v>
      </c>
      <c r="F2785" s="3" t="s">
        <v>127</v>
      </c>
      <c r="G2785" s="3" t="s">
        <v>49</v>
      </c>
      <c r="H2785" s="2" t="s">
        <v>36</v>
      </c>
      <c r="I2785" s="2" t="s">
        <v>6637</v>
      </c>
      <c r="J2785" s="3" t="str">
        <f>HYPERLINK("https://www.boe.es/gazeta/dias/1818/06/04/pdfs/GMD-1818-67.pdf#page=1","Abrir facsímil")</f>
        <v>Abrir facsímil</v>
      </c>
      <c r="K2785" s="3" t="s">
        <v>38</v>
      </c>
    </row>
    <row r="2786" spans="1:11" ht="42" customHeight="1">
      <c r="A2786" s="2" t="s">
        <v>6638</v>
      </c>
      <c r="B2786" s="2" t="s">
        <v>6639</v>
      </c>
      <c r="C2786" s="2" t="s">
        <v>26</v>
      </c>
      <c r="D2786" s="2" t="s">
        <v>27</v>
      </c>
      <c r="E2786" s="5">
        <v>-29815</v>
      </c>
      <c r="F2786" s="3" t="s">
        <v>2169</v>
      </c>
      <c r="G2786" s="3" t="s">
        <v>45</v>
      </c>
      <c r="H2786" s="2" t="s">
        <v>36</v>
      </c>
      <c r="I2786" s="2" t="s">
        <v>6640</v>
      </c>
      <c r="J2786" s="3" t="str">
        <f>HYPERLINK("https://www.boe.es/gazeta/dias/1818/05/14/pdfs/GMD-1818-58.pdf#page=8","Abrir facsímil")</f>
        <v>Abrir facsímil</v>
      </c>
      <c r="K2786" s="3" t="s">
        <v>38</v>
      </c>
    </row>
    <row r="2787" spans="1:11" ht="42" customHeight="1">
      <c r="A2787" s="2" t="s">
        <v>6641</v>
      </c>
      <c r="B2787" s="2" t="s">
        <v>6642</v>
      </c>
      <c r="C2787" s="2" t="s">
        <v>17</v>
      </c>
      <c r="D2787" s="2" t="s">
        <v>18</v>
      </c>
      <c r="E2787" s="5">
        <v>-29677</v>
      </c>
      <c r="F2787" s="3" t="s">
        <v>157</v>
      </c>
      <c r="G2787" s="3" t="s">
        <v>158</v>
      </c>
      <c r="H2787" s="2" t="s">
        <v>36</v>
      </c>
      <c r="I2787" s="2" t="s">
        <v>6643</v>
      </c>
      <c r="J2787" s="3" t="str">
        <f>HYPERLINK("https://www.boe.es/gazeta/dias/1818/09/29/pdfs/GMD-1818-117.pdf#page=8","Abrir facsímil")</f>
        <v>Abrir facsímil</v>
      </c>
      <c r="K2787" s="3" t="s">
        <v>38</v>
      </c>
    </row>
    <row r="2788" spans="1:11" ht="42" customHeight="1">
      <c r="A2788" s="2" t="s">
        <v>6644</v>
      </c>
      <c r="B2788" s="2" t="s">
        <v>6645</v>
      </c>
      <c r="C2788" s="2" t="s">
        <v>26</v>
      </c>
      <c r="D2788" s="2" t="s">
        <v>27</v>
      </c>
      <c r="E2788" s="5">
        <v>-29663</v>
      </c>
      <c r="F2788" s="3" t="s">
        <v>1011</v>
      </c>
      <c r="G2788" s="3" t="s">
        <v>106</v>
      </c>
      <c r="H2788" s="2" t="s">
        <v>36</v>
      </c>
      <c r="I2788" s="2" t="s">
        <v>6646</v>
      </c>
      <c r="J2788" s="3" t="str">
        <f>HYPERLINK("https://www.boe.es/gazeta/dias/1818/10/13/pdfs/GMD-1818-123.pdf#page=5","Abrir facsímil")</f>
        <v>Abrir facsímil</v>
      </c>
      <c r="K2788" s="3" t="s">
        <v>38</v>
      </c>
    </row>
    <row r="2789" spans="1:11" ht="42" customHeight="1">
      <c r="A2789" s="2" t="s">
        <v>6647</v>
      </c>
      <c r="B2789" s="2" t="s">
        <v>6647</v>
      </c>
      <c r="C2789" s="2" t="s">
        <v>68</v>
      </c>
      <c r="D2789" s="2" t="s">
        <v>69</v>
      </c>
      <c r="E2789" s="5">
        <v>-29794</v>
      </c>
      <c r="F2789" s="3" t="s">
        <v>127</v>
      </c>
      <c r="G2789" s="3" t="s">
        <v>120</v>
      </c>
      <c r="H2789" s="2" t="s">
        <v>36</v>
      </c>
      <c r="I2789" s="2" t="s">
        <v>6648</v>
      </c>
      <c r="J2789" s="3" t="str">
        <f>HYPERLINK("https://www.boe.es/gazeta/dias/1818/06/04/pdfs/GMD-1818-67.pdf#page=2","Abrir facsímil")</f>
        <v>Abrir facsímil</v>
      </c>
      <c r="K2789" s="3" t="s">
        <v>38</v>
      </c>
    </row>
    <row r="2790" spans="1:11" ht="42" customHeight="1">
      <c r="A2790" s="2" t="s">
        <v>6649</v>
      </c>
      <c r="B2790" s="2" t="s">
        <v>6649</v>
      </c>
      <c r="C2790" s="2" t="s">
        <v>57</v>
      </c>
      <c r="D2790" s="2" t="s">
        <v>18</v>
      </c>
      <c r="E2790" s="5">
        <v>-29789</v>
      </c>
      <c r="F2790" s="3" t="s">
        <v>937</v>
      </c>
      <c r="G2790" s="3" t="s">
        <v>20</v>
      </c>
      <c r="H2790" s="2" t="s">
        <v>36</v>
      </c>
      <c r="I2790" s="2" t="s">
        <v>6650</v>
      </c>
      <c r="J2790" s="3" t="str">
        <f>HYPERLINK("https://www.boe.es/gazeta/dias/1818/06/09/pdfs/GMD-1818-69.pdf#page=7","Abrir facsímil")</f>
        <v>Abrir facsímil</v>
      </c>
      <c r="K2790" s="3" t="s">
        <v>38</v>
      </c>
    </row>
    <row r="2791" spans="1:11" ht="42" customHeight="1">
      <c r="A2791" s="2" t="s">
        <v>6649</v>
      </c>
      <c r="B2791" s="2" t="s">
        <v>6649</v>
      </c>
      <c r="C2791" s="2" t="s">
        <v>57</v>
      </c>
      <c r="D2791" s="2" t="s">
        <v>18</v>
      </c>
      <c r="E2791" s="5">
        <v>-29787</v>
      </c>
      <c r="F2791" s="3" t="s">
        <v>343</v>
      </c>
      <c r="G2791" s="3" t="s">
        <v>45</v>
      </c>
      <c r="H2791" s="2" t="s">
        <v>36</v>
      </c>
      <c r="I2791" s="2" t="s">
        <v>6651</v>
      </c>
      <c r="J2791" s="3" t="str">
        <f>HYPERLINK("https://www.boe.es/gazeta/dias/1818/06/11/pdfs/GMD-1818-70.pdf#page=8","Abrir facsímil")</f>
        <v>Abrir facsímil</v>
      </c>
      <c r="K2791" s="3" t="s">
        <v>38</v>
      </c>
    </row>
    <row r="2792" spans="1:11" ht="42" customHeight="1">
      <c r="A2792" s="2" t="s">
        <v>6652</v>
      </c>
      <c r="B2792" s="2" t="s">
        <v>6653</v>
      </c>
      <c r="C2792" s="2" t="s">
        <v>57</v>
      </c>
      <c r="D2792" s="2" t="s">
        <v>18</v>
      </c>
      <c r="E2792" s="5">
        <v>-29911</v>
      </c>
      <c r="F2792" s="3" t="s">
        <v>509</v>
      </c>
      <c r="G2792" s="3" t="s">
        <v>20</v>
      </c>
      <c r="H2792" s="2" t="s">
        <v>36</v>
      </c>
      <c r="I2792" s="2" t="s">
        <v>6654</v>
      </c>
      <c r="J2792" s="3" t="str">
        <f>HYPERLINK("https://www.boe.es/gazeta/dias/1818/02/07/pdfs/GMD-1818-17.pdf#page=7","Abrir facsímil")</f>
        <v>Abrir facsímil</v>
      </c>
      <c r="K2792" s="3" t="s">
        <v>38</v>
      </c>
    </row>
    <row r="2793" spans="1:11" ht="42" customHeight="1">
      <c r="A2793" s="2" t="s">
        <v>6655</v>
      </c>
      <c r="B2793" s="2" t="s">
        <v>6656</v>
      </c>
      <c r="C2793" s="2" t="s">
        <v>17</v>
      </c>
      <c r="D2793" s="2" t="s">
        <v>18</v>
      </c>
      <c r="E2793" s="5">
        <v>-29785</v>
      </c>
      <c r="F2793" s="3" t="s">
        <v>1031</v>
      </c>
      <c r="G2793" s="3" t="s">
        <v>59</v>
      </c>
      <c r="H2793" s="2" t="s">
        <v>36</v>
      </c>
      <c r="I2793" s="2" t="s">
        <v>6657</v>
      </c>
      <c r="J2793" s="3" t="str">
        <f>HYPERLINK("https://www.boe.es/gazeta/dias/1818/06/13/pdfs/GMD-1818-71.pdf#page=6","Abrir facsímil")</f>
        <v>Abrir facsímil</v>
      </c>
      <c r="K2793" s="3" t="s">
        <v>38</v>
      </c>
    </row>
    <row r="2794" spans="1:11" ht="42" customHeight="1">
      <c r="A2794" s="2" t="s">
        <v>6658</v>
      </c>
      <c r="B2794" s="2" t="s">
        <v>6658</v>
      </c>
      <c r="C2794" s="2" t="s">
        <v>26</v>
      </c>
      <c r="D2794" s="2" t="s">
        <v>27</v>
      </c>
      <c r="E2794" s="5">
        <v>-29663</v>
      </c>
      <c r="F2794" s="3" t="s">
        <v>1011</v>
      </c>
      <c r="G2794" s="3" t="s">
        <v>85</v>
      </c>
      <c r="H2794" s="2" t="s">
        <v>36</v>
      </c>
      <c r="I2794" s="2" t="s">
        <v>6659</v>
      </c>
      <c r="J2794" s="3" t="str">
        <f>HYPERLINK("https://www.boe.es/gazeta/dias/1818/10/13/pdfs/GMD-1818-123.pdf#page=3","Abrir facsímil")</f>
        <v>Abrir facsímil</v>
      </c>
      <c r="K2794" s="3" t="s">
        <v>38</v>
      </c>
    </row>
    <row r="2795" spans="1:11" ht="42" customHeight="1">
      <c r="A2795" s="2" t="s">
        <v>6660</v>
      </c>
      <c r="B2795" s="2" t="s">
        <v>6661</v>
      </c>
      <c r="C2795" s="2" t="s">
        <v>68</v>
      </c>
      <c r="D2795" s="2" t="s">
        <v>69</v>
      </c>
      <c r="E2795" s="5">
        <v>-29848</v>
      </c>
      <c r="F2795" s="3" t="s">
        <v>571</v>
      </c>
      <c r="G2795" s="3" t="s">
        <v>45</v>
      </c>
      <c r="H2795" s="2" t="s">
        <v>36</v>
      </c>
      <c r="I2795" s="2" t="s">
        <v>6662</v>
      </c>
      <c r="J2795" s="3" t="str">
        <f>HYPERLINK("https://www.boe.es/gazeta/dias/1818/04/11/pdfs/GMD-1818-44.pdf#page=8","Abrir facsímil")</f>
        <v>Abrir facsímil</v>
      </c>
      <c r="K2795" s="3" t="s">
        <v>38</v>
      </c>
    </row>
    <row r="2796" spans="1:11" ht="42" customHeight="1">
      <c r="A2796" s="2" t="s">
        <v>6663</v>
      </c>
      <c r="B2796" s="2" t="s">
        <v>6664</v>
      </c>
      <c r="C2796" s="2" t="s">
        <v>57</v>
      </c>
      <c r="D2796" s="2" t="s">
        <v>18</v>
      </c>
      <c r="E2796" s="5">
        <v>-29834</v>
      </c>
      <c r="F2796" s="3" t="s">
        <v>457</v>
      </c>
      <c r="G2796" s="3" t="s">
        <v>458</v>
      </c>
      <c r="H2796" s="2" t="s">
        <v>36</v>
      </c>
      <c r="I2796" s="2" t="s">
        <v>6665</v>
      </c>
      <c r="J2796" s="3" t="str">
        <f>HYPERLINK("https://www.boe.es/gazeta/dias/1818/04/25/pdfs/GMD-1818-50.pdf#page=8","Abrir facsímil")</f>
        <v>Abrir facsímil</v>
      </c>
      <c r="K2796" s="3" t="s">
        <v>38</v>
      </c>
    </row>
    <row r="2797" spans="1:11" ht="42" customHeight="1">
      <c r="A2797" s="2" t="s">
        <v>6666</v>
      </c>
      <c r="B2797" s="2" t="s">
        <v>6667</v>
      </c>
      <c r="C2797" s="2" t="s">
        <v>33</v>
      </c>
      <c r="D2797" s="2" t="s">
        <v>18</v>
      </c>
      <c r="E2797" s="5">
        <v>-29698</v>
      </c>
      <c r="F2797" s="3" t="s">
        <v>148</v>
      </c>
      <c r="G2797" s="3" t="s">
        <v>29</v>
      </c>
      <c r="H2797" s="2" t="s">
        <v>36</v>
      </c>
      <c r="I2797" s="2" t="s">
        <v>6668</v>
      </c>
      <c r="J2797" s="3" t="str">
        <f>HYPERLINK("https://www.boe.es/gazeta/dias/1818/09/08/pdfs/GMD-1818-108.pdf#page=4","Abrir facsímil")</f>
        <v>Abrir facsímil</v>
      </c>
      <c r="K2797" s="3" t="s">
        <v>38</v>
      </c>
    </row>
    <row r="2798" spans="1:11" ht="42" customHeight="1">
      <c r="A2798" s="2" t="s">
        <v>6669</v>
      </c>
      <c r="B2798" s="2" t="s">
        <v>6670</v>
      </c>
      <c r="C2798" s="2" t="s">
        <v>26</v>
      </c>
      <c r="D2798" s="2" t="s">
        <v>27</v>
      </c>
      <c r="E2798" s="5">
        <v>-29946</v>
      </c>
      <c r="F2798" s="3" t="s">
        <v>724</v>
      </c>
      <c r="G2798" s="3" t="s">
        <v>45</v>
      </c>
      <c r="H2798" s="2" t="s">
        <v>36</v>
      </c>
      <c r="I2798" s="2" t="s">
        <v>6671</v>
      </c>
      <c r="J2798" s="3" t="str">
        <f>HYPERLINK("https://www.boe.es/gazeta/dias/1818/01/03/pdfs/GMD-1818-2.pdf#page=8","Abrir facsímil")</f>
        <v>Abrir facsímil</v>
      </c>
      <c r="K2798" s="3" t="s">
        <v>38</v>
      </c>
    </row>
    <row r="2799" spans="1:11" ht="42" customHeight="1">
      <c r="A2799" s="2" t="s">
        <v>6672</v>
      </c>
      <c r="B2799" s="2" t="s">
        <v>6672</v>
      </c>
      <c r="C2799" s="2" t="s">
        <v>57</v>
      </c>
      <c r="D2799" s="2" t="s">
        <v>18</v>
      </c>
      <c r="E2799" s="5">
        <v>-29666</v>
      </c>
      <c r="F2799" s="3" t="s">
        <v>258</v>
      </c>
      <c r="G2799" s="3" t="s">
        <v>85</v>
      </c>
      <c r="H2799" s="2" t="s">
        <v>36</v>
      </c>
      <c r="I2799" s="2" t="s">
        <v>6673</v>
      </c>
      <c r="J2799" s="3" t="str">
        <f>HYPERLINK("https://www.boe.es/gazeta/dias/1818/10/10/pdfs/GMD-1818-122.pdf#page=3","Abrir facsímil")</f>
        <v>Abrir facsímil</v>
      </c>
      <c r="K2799" s="3" t="s">
        <v>38</v>
      </c>
    </row>
    <row r="2800" spans="1:11" ht="42" customHeight="1">
      <c r="A2800" s="2" t="s">
        <v>6674</v>
      </c>
      <c r="B2800" s="2" t="s">
        <v>6674</v>
      </c>
      <c r="C2800" s="2" t="s">
        <v>26</v>
      </c>
      <c r="D2800" s="2" t="s">
        <v>27</v>
      </c>
      <c r="E2800" s="5">
        <v>-29738</v>
      </c>
      <c r="F2800" s="3" t="s">
        <v>263</v>
      </c>
      <c r="G2800" s="3" t="s">
        <v>120</v>
      </c>
      <c r="H2800" s="2" t="s">
        <v>36</v>
      </c>
      <c r="I2800" s="2" t="s">
        <v>6675</v>
      </c>
      <c r="J2800" s="3" t="str">
        <f>HYPERLINK("https://www.boe.es/gazeta/dias/1818/07/30/pdfs/GMD-1818-91.pdf#page=2","Abrir facsímil")</f>
        <v>Abrir facsímil</v>
      </c>
      <c r="K2800" s="3" t="s">
        <v>38</v>
      </c>
    </row>
    <row r="2801" spans="1:11" ht="42" customHeight="1">
      <c r="A2801" s="2" t="s">
        <v>6674</v>
      </c>
      <c r="B2801" s="2" t="s">
        <v>6674</v>
      </c>
      <c r="C2801" s="2" t="s">
        <v>17</v>
      </c>
      <c r="D2801" s="2" t="s">
        <v>18</v>
      </c>
      <c r="E2801" s="5">
        <v>-29691</v>
      </c>
      <c r="F2801" s="3" t="s">
        <v>144</v>
      </c>
      <c r="G2801" s="3" t="s">
        <v>49</v>
      </c>
      <c r="H2801" s="2" t="s">
        <v>36</v>
      </c>
      <c r="I2801" s="2" t="s">
        <v>6676</v>
      </c>
      <c r="J2801" s="3" t="str">
        <f>HYPERLINK("https://www.boe.es/gazeta/dias/1818/09/15/pdfs/GMD-1818-111.pdf#page=1","Abrir facsímil")</f>
        <v>Abrir facsímil</v>
      </c>
      <c r="K2801" s="3" t="s">
        <v>38</v>
      </c>
    </row>
    <row r="2802" spans="1:11" ht="42" customHeight="1">
      <c r="A2802" s="2" t="s">
        <v>6674</v>
      </c>
      <c r="B2802" s="2" t="s">
        <v>6674</v>
      </c>
      <c r="C2802" s="2" t="s">
        <v>68</v>
      </c>
      <c r="D2802" s="2" t="s">
        <v>69</v>
      </c>
      <c r="E2802" s="5">
        <v>-29682</v>
      </c>
      <c r="F2802" s="3" t="s">
        <v>170</v>
      </c>
      <c r="G2802" s="3" t="s">
        <v>120</v>
      </c>
      <c r="H2802" s="2" t="s">
        <v>36</v>
      </c>
      <c r="I2802" s="2" t="s">
        <v>6677</v>
      </c>
      <c r="J2802" s="3" t="str">
        <f>HYPERLINK("https://www.boe.es/gazeta/dias/1818/09/24/pdfs/GMD-1818-115.pdf#page=2","Abrir facsímil")</f>
        <v>Abrir facsímil</v>
      </c>
      <c r="K2802" s="3" t="s">
        <v>38</v>
      </c>
    </row>
    <row r="2803" spans="1:11" ht="42" customHeight="1">
      <c r="A2803" s="2" t="s">
        <v>6674</v>
      </c>
      <c r="B2803" s="2" t="s">
        <v>6674</v>
      </c>
      <c r="C2803" s="2" t="s">
        <v>17</v>
      </c>
      <c r="D2803" s="2" t="s">
        <v>18</v>
      </c>
      <c r="E2803" s="5">
        <v>-29680</v>
      </c>
      <c r="F2803" s="3" t="s">
        <v>865</v>
      </c>
      <c r="G2803" s="3" t="s">
        <v>85</v>
      </c>
      <c r="H2803" s="2" t="s">
        <v>36</v>
      </c>
      <c r="I2803" s="2" t="s">
        <v>6678</v>
      </c>
      <c r="J2803" s="3" t="str">
        <f>HYPERLINK("https://www.boe.es/gazeta/dias/1818/09/26/pdfs/GMD-1818-116.pdf#page=3","Abrir facsímil")</f>
        <v>Abrir facsímil</v>
      </c>
      <c r="K2803" s="3" t="s">
        <v>38</v>
      </c>
    </row>
    <row r="2804" spans="1:11" ht="42" customHeight="1">
      <c r="A2804" s="2" t="s">
        <v>6674</v>
      </c>
      <c r="B2804" s="2" t="s">
        <v>6674</v>
      </c>
      <c r="C2804" s="2" t="s">
        <v>68</v>
      </c>
      <c r="D2804" s="2" t="s">
        <v>69</v>
      </c>
      <c r="E2804" s="5">
        <v>-29645</v>
      </c>
      <c r="F2804" s="3" t="s">
        <v>577</v>
      </c>
      <c r="G2804" s="3" t="s">
        <v>120</v>
      </c>
      <c r="H2804" s="2" t="s">
        <v>36</v>
      </c>
      <c r="I2804" s="2" t="s">
        <v>6679</v>
      </c>
      <c r="J2804" s="3" t="str">
        <f>HYPERLINK("https://www.boe.es/gazeta/dias/1818/10/31/pdfs/GMD-1818-132.pdf#page=2","Abrir facsímil")</f>
        <v>Abrir facsímil</v>
      </c>
      <c r="K2804" s="3" t="s">
        <v>38</v>
      </c>
    </row>
    <row r="2805" spans="1:11" ht="42" customHeight="1">
      <c r="A2805" s="2" t="s">
        <v>6680</v>
      </c>
      <c r="B2805" s="2" t="s">
        <v>6680</v>
      </c>
      <c r="C2805" s="2" t="s">
        <v>68</v>
      </c>
      <c r="D2805" s="2" t="s">
        <v>69</v>
      </c>
      <c r="E2805" s="5">
        <v>-29614</v>
      </c>
      <c r="F2805" s="3" t="s">
        <v>620</v>
      </c>
      <c r="G2805" s="3" t="s">
        <v>49</v>
      </c>
      <c r="H2805" s="2" t="s">
        <v>36</v>
      </c>
      <c r="I2805" s="2" t="s">
        <v>6681</v>
      </c>
      <c r="J2805" s="3" t="str">
        <f>HYPERLINK("https://www.boe.es/gazeta/dias/1818/12/01/pdfs/GMD-1818-145.pdf#page=1","Abrir facsímil")</f>
        <v>Abrir facsímil</v>
      </c>
      <c r="K2805" s="3" t="s">
        <v>38</v>
      </c>
    </row>
    <row r="2806" spans="1:11" ht="42" customHeight="1">
      <c r="A2806" s="2" t="s">
        <v>6682</v>
      </c>
      <c r="B2806" s="2" t="s">
        <v>6682</v>
      </c>
      <c r="C2806" s="2" t="s">
        <v>26</v>
      </c>
      <c r="D2806" s="2" t="s">
        <v>27</v>
      </c>
      <c r="E2806" s="5">
        <v>-29918</v>
      </c>
      <c r="F2806" s="3" t="s">
        <v>89</v>
      </c>
      <c r="G2806" s="3" t="s">
        <v>366</v>
      </c>
      <c r="H2806" s="2" t="s">
        <v>36</v>
      </c>
      <c r="I2806" s="2" t="s">
        <v>6683</v>
      </c>
      <c r="J2806" s="3" t="str">
        <f>HYPERLINK("https://www.boe.es/gazeta/dias/1818/01/31/pdfs/GMD-1818-14.pdf#page=5","Abrir facsímil")</f>
        <v>Abrir facsímil</v>
      </c>
      <c r="K2806" s="3" t="s">
        <v>38</v>
      </c>
    </row>
    <row r="2807" spans="1:11" ht="42" customHeight="1">
      <c r="A2807" s="2" t="s">
        <v>6682</v>
      </c>
      <c r="B2807" s="2" t="s">
        <v>6682</v>
      </c>
      <c r="C2807" s="2" t="s">
        <v>26</v>
      </c>
      <c r="D2807" s="2" t="s">
        <v>27</v>
      </c>
      <c r="E2807" s="5">
        <v>-29885</v>
      </c>
      <c r="F2807" s="3" t="s">
        <v>2308</v>
      </c>
      <c r="G2807" s="3" t="s">
        <v>6684</v>
      </c>
      <c r="H2807" s="2" t="s">
        <v>36</v>
      </c>
      <c r="I2807" s="2" t="s">
        <v>6685</v>
      </c>
      <c r="J2807" s="3" t="str">
        <f>HYPERLINK("https://www.boe.es/gazeta/dias/1818/03/05/pdfs/GMD-1818-28.pdf#page=8","Abrir facsímil")</f>
        <v>Abrir facsímil</v>
      </c>
      <c r="K2807" s="3" t="s">
        <v>38</v>
      </c>
    </row>
    <row r="2808" spans="1:11" ht="42" customHeight="1">
      <c r="A2808" s="2" t="s">
        <v>6686</v>
      </c>
      <c r="B2808" s="2" t="s">
        <v>6686</v>
      </c>
      <c r="C2808" s="2" t="s">
        <v>26</v>
      </c>
      <c r="D2808" s="2" t="s">
        <v>27</v>
      </c>
      <c r="E2808" s="5">
        <v>-29878</v>
      </c>
      <c r="F2808" s="3" t="s">
        <v>353</v>
      </c>
      <c r="G2808" s="3" t="s">
        <v>120</v>
      </c>
      <c r="H2808" s="2" t="s">
        <v>36</v>
      </c>
      <c r="I2808" s="2" t="s">
        <v>6687</v>
      </c>
      <c r="J2808" s="3" t="str">
        <f>HYPERLINK("https://www.boe.es/gazeta/dias/1818/03/12/pdfs/GMD-1818-31.pdf#page=2","Abrir facsímil")</f>
        <v>Abrir facsímil</v>
      </c>
      <c r="K2808" s="3" t="s">
        <v>38</v>
      </c>
    </row>
    <row r="2809" spans="1:11" ht="42" customHeight="1">
      <c r="A2809" s="2" t="s">
        <v>6688</v>
      </c>
      <c r="B2809" s="2" t="s">
        <v>6689</v>
      </c>
      <c r="C2809" s="2" t="s">
        <v>26</v>
      </c>
      <c r="D2809" s="2" t="s">
        <v>27</v>
      </c>
      <c r="E2809" s="5">
        <v>-29586</v>
      </c>
      <c r="F2809" s="3" t="s">
        <v>683</v>
      </c>
      <c r="G2809" s="3" t="s">
        <v>59</v>
      </c>
      <c r="H2809" s="2" t="s">
        <v>36</v>
      </c>
      <c r="I2809" s="2" t="s">
        <v>6690</v>
      </c>
      <c r="J2809" s="3" t="str">
        <f>HYPERLINK("https://www.boe.es/gazeta/dias/1818/12/29/pdfs/GMD-1818-158.pdf#page=6","Abrir facsímil")</f>
        <v>Abrir facsímil</v>
      </c>
      <c r="K2809" s="3" t="s">
        <v>38</v>
      </c>
    </row>
    <row r="2810" spans="1:11" ht="42" customHeight="1">
      <c r="A2810" s="2" t="s">
        <v>6691</v>
      </c>
      <c r="B2810" s="2" t="s">
        <v>6692</v>
      </c>
      <c r="C2810" s="2" t="s">
        <v>17</v>
      </c>
      <c r="D2810" s="2" t="s">
        <v>18</v>
      </c>
      <c r="E2810" s="5">
        <v>-29752</v>
      </c>
      <c r="F2810" s="3" t="s">
        <v>165</v>
      </c>
      <c r="G2810" s="3" t="s">
        <v>59</v>
      </c>
      <c r="H2810" s="2" t="s">
        <v>36</v>
      </c>
      <c r="I2810" s="2" t="s">
        <v>6693</v>
      </c>
      <c r="J2810" s="3" t="str">
        <f>HYPERLINK("https://www.boe.es/gazeta/dias/1818/07/16/pdfs/GMD-1818-85.pdf#page=6","Abrir facsímil")</f>
        <v>Abrir facsímil</v>
      </c>
      <c r="K2810" s="3" t="s">
        <v>38</v>
      </c>
    </row>
    <row r="2811" spans="1:11" ht="42" customHeight="1">
      <c r="A2811" s="2" t="s">
        <v>6694</v>
      </c>
      <c r="B2811" s="2" t="s">
        <v>6694</v>
      </c>
      <c r="C2811" s="2" t="s">
        <v>17</v>
      </c>
      <c r="D2811" s="2" t="s">
        <v>18</v>
      </c>
      <c r="E2811" s="5">
        <v>-29936</v>
      </c>
      <c r="F2811" s="3" t="s">
        <v>398</v>
      </c>
      <c r="G2811" s="3" t="s">
        <v>49</v>
      </c>
      <c r="H2811" s="2" t="s">
        <v>36</v>
      </c>
      <c r="I2811" s="2" t="s">
        <v>6695</v>
      </c>
      <c r="J2811" s="3" t="str">
        <f>HYPERLINK("https://www.boe.es/gazeta/dias/1818/01/13/pdfs/GMD-1818-6.pdf#page=1","Abrir facsímil")</f>
        <v>Abrir facsímil</v>
      </c>
      <c r="K2811" s="3" t="s">
        <v>38</v>
      </c>
    </row>
    <row r="2812" spans="1:11" ht="42" customHeight="1">
      <c r="A2812" s="2" t="s">
        <v>6694</v>
      </c>
      <c r="B2812" s="2" t="s">
        <v>6694</v>
      </c>
      <c r="C2812" s="2" t="s">
        <v>17</v>
      </c>
      <c r="D2812" s="2" t="s">
        <v>18</v>
      </c>
      <c r="E2812" s="5">
        <v>-29932</v>
      </c>
      <c r="F2812" s="3" t="s">
        <v>34</v>
      </c>
      <c r="G2812" s="3" t="s">
        <v>5864</v>
      </c>
      <c r="H2812" s="2" t="s">
        <v>36</v>
      </c>
      <c r="I2812" s="2" t="s">
        <v>6696</v>
      </c>
      <c r="J2812" s="3" t="str">
        <f>HYPERLINK("https://www.boe.es/gazeta/dias/1818/01/17/pdfs/GMD-1818-8.pdf#page=1","Abrir facsímil")</f>
        <v>Abrir facsímil</v>
      </c>
      <c r="K2812" s="3" t="s">
        <v>38</v>
      </c>
    </row>
    <row r="2813" spans="1:11" ht="42" customHeight="1">
      <c r="A2813" s="2" t="s">
        <v>6694</v>
      </c>
      <c r="B2813" s="2" t="s">
        <v>6694</v>
      </c>
      <c r="C2813" s="2" t="s">
        <v>26</v>
      </c>
      <c r="D2813" s="2" t="s">
        <v>27</v>
      </c>
      <c r="E2813" s="5">
        <v>-29887</v>
      </c>
      <c r="F2813" s="3" t="s">
        <v>613</v>
      </c>
      <c r="G2813" s="3" t="s">
        <v>20</v>
      </c>
      <c r="H2813" s="2" t="s">
        <v>36</v>
      </c>
      <c r="I2813" s="2" t="s">
        <v>6697</v>
      </c>
      <c r="J2813" s="3" t="str">
        <f>HYPERLINK("https://www.boe.es/gazeta/dias/1818/03/03/pdfs/GMD-1818-27.pdf#page=7","Abrir facsímil")</f>
        <v>Abrir facsímil</v>
      </c>
      <c r="K2813" s="3" t="s">
        <v>38</v>
      </c>
    </row>
    <row r="2814" spans="1:11" ht="42" customHeight="1">
      <c r="A2814" s="2" t="s">
        <v>6694</v>
      </c>
      <c r="B2814" s="2" t="s">
        <v>6694</v>
      </c>
      <c r="C2814" s="2" t="s">
        <v>57</v>
      </c>
      <c r="D2814" s="2" t="s">
        <v>18</v>
      </c>
      <c r="E2814" s="5">
        <v>-29880</v>
      </c>
      <c r="F2814" s="3" t="s">
        <v>359</v>
      </c>
      <c r="G2814" s="3" t="s">
        <v>49</v>
      </c>
      <c r="H2814" s="2" t="s">
        <v>36</v>
      </c>
      <c r="I2814" s="2" t="s">
        <v>6698</v>
      </c>
      <c r="J2814" s="3" t="str">
        <f>HYPERLINK("https://www.boe.es/gazeta/dias/1818/03/10/pdfs/GMD-1818-30.pdf#page=1","Abrir facsímil")</f>
        <v>Abrir facsímil</v>
      </c>
      <c r="K2814" s="3" t="s">
        <v>38</v>
      </c>
    </row>
    <row r="2815" spans="1:11" ht="42" customHeight="1">
      <c r="A2815" s="2" t="s">
        <v>6694</v>
      </c>
      <c r="B2815" s="2" t="s">
        <v>6694</v>
      </c>
      <c r="C2815" s="2" t="s">
        <v>26</v>
      </c>
      <c r="D2815" s="2" t="s">
        <v>27</v>
      </c>
      <c r="E2815" s="5">
        <v>-29869</v>
      </c>
      <c r="F2815" s="3" t="s">
        <v>140</v>
      </c>
      <c r="G2815" s="3" t="s">
        <v>20</v>
      </c>
      <c r="H2815" s="2" t="s">
        <v>36</v>
      </c>
      <c r="I2815" s="2" t="s">
        <v>6699</v>
      </c>
      <c r="J2815" s="3" t="str">
        <f>HYPERLINK("https://www.boe.es/gazeta/dias/1818/03/21/pdfs/GMD-1818-35.pdf#page=7","Abrir facsímil")</f>
        <v>Abrir facsímil</v>
      </c>
      <c r="K2815" s="3" t="s">
        <v>38</v>
      </c>
    </row>
    <row r="2816" spans="1:11" ht="42" customHeight="1">
      <c r="A2816" s="2" t="s">
        <v>6694</v>
      </c>
      <c r="B2816" s="2" t="s">
        <v>6694</v>
      </c>
      <c r="C2816" s="2" t="s">
        <v>33</v>
      </c>
      <c r="D2816" s="2" t="s">
        <v>18</v>
      </c>
      <c r="E2816" s="5">
        <v>-29862</v>
      </c>
      <c r="F2816" s="3" t="s">
        <v>925</v>
      </c>
      <c r="G2816" s="3" t="s">
        <v>120</v>
      </c>
      <c r="H2816" s="2" t="s">
        <v>36</v>
      </c>
      <c r="I2816" s="2" t="s">
        <v>6700</v>
      </c>
      <c r="J2816" s="3" t="str">
        <f>HYPERLINK("https://www.boe.es/gazeta/dias/1818/03/28/pdfs/GMD-1818-38.pdf#page=2","Abrir facsímil")</f>
        <v>Abrir facsímil</v>
      </c>
      <c r="K2816" s="3" t="s">
        <v>38</v>
      </c>
    </row>
    <row r="2817" spans="1:11" ht="42" customHeight="1">
      <c r="A2817" s="2" t="s">
        <v>6694</v>
      </c>
      <c r="B2817" s="2" t="s">
        <v>6694</v>
      </c>
      <c r="C2817" s="2" t="s">
        <v>26</v>
      </c>
      <c r="D2817" s="2" t="s">
        <v>27</v>
      </c>
      <c r="E2817" s="5">
        <v>-29834</v>
      </c>
      <c r="F2817" s="3" t="s">
        <v>457</v>
      </c>
      <c r="G2817" s="3" t="s">
        <v>49</v>
      </c>
      <c r="H2817" s="2" t="s">
        <v>36</v>
      </c>
      <c r="I2817" s="2" t="s">
        <v>6701</v>
      </c>
      <c r="J2817" s="3" t="str">
        <f>HYPERLINK("https://www.boe.es/gazeta/dias/1818/04/25/pdfs/GMD-1818-50.pdf#page=1","Abrir facsímil")</f>
        <v>Abrir facsímil</v>
      </c>
      <c r="K2817" s="3" t="s">
        <v>38</v>
      </c>
    </row>
    <row r="2818" spans="1:11" ht="42" customHeight="1">
      <c r="A2818" s="2" t="s">
        <v>6694</v>
      </c>
      <c r="B2818" s="2" t="s">
        <v>6694</v>
      </c>
      <c r="C2818" s="2" t="s">
        <v>68</v>
      </c>
      <c r="D2818" s="2" t="s">
        <v>69</v>
      </c>
      <c r="E2818" s="5">
        <v>-29827</v>
      </c>
      <c r="F2818" s="3" t="s">
        <v>280</v>
      </c>
      <c r="G2818" s="3" t="s">
        <v>120</v>
      </c>
      <c r="H2818" s="2" t="s">
        <v>36</v>
      </c>
      <c r="I2818" s="2" t="s">
        <v>6702</v>
      </c>
      <c r="J2818" s="3" t="str">
        <f>HYPERLINK("https://www.boe.es/gazeta/dias/1818/05/02/pdfs/GMD-1818-53.pdf#page=2","Abrir facsímil")</f>
        <v>Abrir facsímil</v>
      </c>
      <c r="K2818" s="3" t="s">
        <v>38</v>
      </c>
    </row>
    <row r="2819" spans="1:11" ht="42" customHeight="1">
      <c r="A2819" s="2" t="s">
        <v>6694</v>
      </c>
      <c r="B2819" s="2" t="s">
        <v>6694</v>
      </c>
      <c r="C2819" s="2" t="s">
        <v>68</v>
      </c>
      <c r="D2819" s="2" t="s">
        <v>69</v>
      </c>
      <c r="E2819" s="5">
        <v>-29822</v>
      </c>
      <c r="F2819" s="3" t="s">
        <v>373</v>
      </c>
      <c r="G2819" s="3" t="s">
        <v>45</v>
      </c>
      <c r="H2819" s="2" t="s">
        <v>36</v>
      </c>
      <c r="I2819" s="2" t="s">
        <v>6703</v>
      </c>
      <c r="J2819" s="3" t="str">
        <f>HYPERLINK("https://www.boe.es/gazeta/dias/1818/05/07/pdfs/GMD-1818-55.pdf#page=8","Abrir facsímil")</f>
        <v>Abrir facsímil</v>
      </c>
      <c r="K2819" s="3" t="s">
        <v>38</v>
      </c>
    </row>
    <row r="2820" spans="1:11" ht="42" customHeight="1">
      <c r="A2820" s="2" t="s">
        <v>6694</v>
      </c>
      <c r="B2820" s="2" t="s">
        <v>6694</v>
      </c>
      <c r="C2820" s="2" t="s">
        <v>26</v>
      </c>
      <c r="D2820" s="2" t="s">
        <v>27</v>
      </c>
      <c r="E2820" s="5">
        <v>-29815</v>
      </c>
      <c r="F2820" s="3" t="s">
        <v>2169</v>
      </c>
      <c r="G2820" s="3" t="s">
        <v>49</v>
      </c>
      <c r="H2820" s="2" t="s">
        <v>36</v>
      </c>
      <c r="I2820" s="2" t="s">
        <v>6704</v>
      </c>
      <c r="J2820" s="3" t="str">
        <f>HYPERLINK("https://www.boe.es/gazeta/dias/1818/05/14/pdfs/GMD-1818-58.pdf#page=1","Abrir facsímil")</f>
        <v>Abrir facsímil</v>
      </c>
      <c r="K2820" s="3" t="s">
        <v>38</v>
      </c>
    </row>
    <row r="2821" spans="1:11" ht="42" customHeight="1">
      <c r="A2821" s="2" t="s">
        <v>6694</v>
      </c>
      <c r="B2821" s="2" t="s">
        <v>6694</v>
      </c>
      <c r="C2821" s="2" t="s">
        <v>17</v>
      </c>
      <c r="D2821" s="2" t="s">
        <v>18</v>
      </c>
      <c r="E2821" s="5">
        <v>-29794</v>
      </c>
      <c r="F2821" s="3" t="s">
        <v>127</v>
      </c>
      <c r="G2821" s="3" t="s">
        <v>49</v>
      </c>
      <c r="H2821" s="2" t="s">
        <v>36</v>
      </c>
      <c r="I2821" s="2" t="s">
        <v>6705</v>
      </c>
      <c r="J2821" s="3" t="str">
        <f>HYPERLINK("https://www.boe.es/gazeta/dias/1818/06/04/pdfs/GMD-1818-67.pdf#page=1","Abrir facsímil")</f>
        <v>Abrir facsímil</v>
      </c>
      <c r="K2821" s="3" t="s">
        <v>38</v>
      </c>
    </row>
    <row r="2822" spans="1:11" ht="42" customHeight="1">
      <c r="A2822" s="2" t="s">
        <v>6694</v>
      </c>
      <c r="B2822" s="2" t="s">
        <v>6694</v>
      </c>
      <c r="C2822" s="2" t="s">
        <v>17</v>
      </c>
      <c r="D2822" s="2" t="s">
        <v>18</v>
      </c>
      <c r="E2822" s="5">
        <v>-29792</v>
      </c>
      <c r="F2822" s="3" t="s">
        <v>948</v>
      </c>
      <c r="G2822" s="3" t="s">
        <v>59</v>
      </c>
      <c r="H2822" s="2" t="s">
        <v>36</v>
      </c>
      <c r="I2822" s="2" t="s">
        <v>6706</v>
      </c>
      <c r="J2822" s="3" t="str">
        <f>HYPERLINK("https://www.boe.es/gazeta/dias/1818/06/06/pdfs/GMD-1818-68.pdf#page=6","Abrir facsímil")</f>
        <v>Abrir facsímil</v>
      </c>
      <c r="K2822" s="3" t="s">
        <v>38</v>
      </c>
    </row>
    <row r="2823" spans="1:11" ht="42" customHeight="1">
      <c r="A2823" s="2" t="s">
        <v>6694</v>
      </c>
      <c r="B2823" s="2" t="s">
        <v>6694</v>
      </c>
      <c r="C2823" s="2" t="s">
        <v>68</v>
      </c>
      <c r="D2823" s="2" t="s">
        <v>69</v>
      </c>
      <c r="E2823" s="5">
        <v>-29782</v>
      </c>
      <c r="F2823" s="3" t="s">
        <v>226</v>
      </c>
      <c r="G2823" s="3" t="s">
        <v>120</v>
      </c>
      <c r="H2823" s="2" t="s">
        <v>36</v>
      </c>
      <c r="I2823" s="2" t="s">
        <v>6707</v>
      </c>
      <c r="J2823" s="3" t="str">
        <f>HYPERLINK("https://www.boe.es/gazeta/dias/1818/06/16/pdfs/GMD-1818-72.pdf#page=2","Abrir facsímil")</f>
        <v>Abrir facsímil</v>
      </c>
      <c r="K2823" s="3" t="s">
        <v>38</v>
      </c>
    </row>
    <row r="2824" spans="1:11" ht="42" customHeight="1">
      <c r="A2824" s="2" t="s">
        <v>6694</v>
      </c>
      <c r="B2824" s="2" t="s">
        <v>6694</v>
      </c>
      <c r="C2824" s="2" t="s">
        <v>26</v>
      </c>
      <c r="D2824" s="2" t="s">
        <v>27</v>
      </c>
      <c r="E2824" s="5">
        <v>-29775</v>
      </c>
      <c r="F2824" s="3" t="s">
        <v>1245</v>
      </c>
      <c r="G2824" s="3" t="s">
        <v>544</v>
      </c>
      <c r="H2824" s="2" t="s">
        <v>36</v>
      </c>
      <c r="I2824" s="2" t="s">
        <v>6708</v>
      </c>
      <c r="J2824" s="3" t="str">
        <f>HYPERLINK("https://www.boe.es/gazeta/dias/1818/06/23/pdfs/GMD-1818-75.pdf#page=4","Abrir facsímil")</f>
        <v>Abrir facsímil</v>
      </c>
      <c r="K2824" s="3" t="s">
        <v>38</v>
      </c>
    </row>
    <row r="2825" spans="1:11" ht="42" customHeight="1">
      <c r="A2825" s="2" t="s">
        <v>6694</v>
      </c>
      <c r="B2825" s="2" t="s">
        <v>6694</v>
      </c>
      <c r="C2825" s="2" t="s">
        <v>26</v>
      </c>
      <c r="D2825" s="2" t="s">
        <v>27</v>
      </c>
      <c r="E2825" s="5">
        <v>-29764</v>
      </c>
      <c r="F2825" s="3" t="s">
        <v>464</v>
      </c>
      <c r="G2825" s="3" t="s">
        <v>85</v>
      </c>
      <c r="H2825" s="2" t="s">
        <v>36</v>
      </c>
      <c r="I2825" s="2" t="s">
        <v>6709</v>
      </c>
      <c r="J2825" s="3" t="str">
        <f>HYPERLINK("https://www.boe.es/gazeta/dias/1818/07/04/pdfs/GMD-1818-80.pdf#page=3","Abrir facsímil")</f>
        <v>Abrir facsímil</v>
      </c>
      <c r="K2825" s="3" t="s">
        <v>38</v>
      </c>
    </row>
    <row r="2826" spans="1:11" ht="42" customHeight="1">
      <c r="A2826" s="2" t="s">
        <v>6694</v>
      </c>
      <c r="B2826" s="2" t="s">
        <v>6694</v>
      </c>
      <c r="C2826" s="2" t="s">
        <v>26</v>
      </c>
      <c r="D2826" s="2" t="s">
        <v>27</v>
      </c>
      <c r="E2826" s="5">
        <v>-29764</v>
      </c>
      <c r="F2826" s="3" t="s">
        <v>464</v>
      </c>
      <c r="G2826" s="3" t="s">
        <v>59</v>
      </c>
      <c r="H2826" s="2" t="s">
        <v>36</v>
      </c>
      <c r="I2826" s="2" t="s">
        <v>6710</v>
      </c>
      <c r="J2826" s="3" t="str">
        <f>HYPERLINK("https://www.boe.es/gazeta/dias/1818/07/04/pdfs/GMD-1818-80.pdf#page=6","Abrir facsímil")</f>
        <v>Abrir facsímil</v>
      </c>
      <c r="K2826" s="3" t="s">
        <v>38</v>
      </c>
    </row>
    <row r="2827" spans="1:11" ht="42" customHeight="1">
      <c r="A2827" s="2" t="s">
        <v>6694</v>
      </c>
      <c r="B2827" s="2" t="s">
        <v>6694</v>
      </c>
      <c r="C2827" s="2" t="s">
        <v>26</v>
      </c>
      <c r="D2827" s="2" t="s">
        <v>27</v>
      </c>
      <c r="E2827" s="5">
        <v>-29757</v>
      </c>
      <c r="F2827" s="3" t="s">
        <v>115</v>
      </c>
      <c r="G2827" s="3" t="s">
        <v>106</v>
      </c>
      <c r="H2827" s="2" t="s">
        <v>36</v>
      </c>
      <c r="I2827" s="2" t="s">
        <v>6711</v>
      </c>
      <c r="J2827" s="3" t="str">
        <f>HYPERLINK("https://www.boe.es/gazeta/dias/1818/07/11/pdfs/GMD-1818-83.pdf#page=5","Abrir facsímil")</f>
        <v>Abrir facsímil</v>
      </c>
      <c r="K2827" s="3" t="s">
        <v>38</v>
      </c>
    </row>
    <row r="2828" spans="1:11" ht="42" customHeight="1">
      <c r="A2828" s="2" t="s">
        <v>6694</v>
      </c>
      <c r="B2828" s="2" t="s">
        <v>6694</v>
      </c>
      <c r="C2828" s="2" t="s">
        <v>26</v>
      </c>
      <c r="D2828" s="2" t="s">
        <v>27</v>
      </c>
      <c r="E2828" s="5">
        <v>-29740</v>
      </c>
      <c r="F2828" s="3" t="s">
        <v>152</v>
      </c>
      <c r="G2828" s="3" t="s">
        <v>106</v>
      </c>
      <c r="H2828" s="2" t="s">
        <v>36</v>
      </c>
      <c r="I2828" s="2" t="s">
        <v>6712</v>
      </c>
      <c r="J2828" s="3" t="str">
        <f>HYPERLINK("https://www.boe.es/gazeta/dias/1818/07/28/pdfs/GMD-1818-90.pdf#page=5","Abrir facsímil")</f>
        <v>Abrir facsímil</v>
      </c>
      <c r="K2828" s="3" t="s">
        <v>38</v>
      </c>
    </row>
    <row r="2829" spans="1:11" ht="42" customHeight="1">
      <c r="A2829" s="2" t="s">
        <v>6694</v>
      </c>
      <c r="B2829" s="2" t="s">
        <v>6694</v>
      </c>
      <c r="C2829" s="2" t="s">
        <v>26</v>
      </c>
      <c r="D2829" s="2" t="s">
        <v>27</v>
      </c>
      <c r="E2829" s="5">
        <v>-29738</v>
      </c>
      <c r="F2829" s="3" t="s">
        <v>263</v>
      </c>
      <c r="G2829" s="3" t="s">
        <v>20</v>
      </c>
      <c r="H2829" s="2" t="s">
        <v>36</v>
      </c>
      <c r="I2829" s="2" t="s">
        <v>6713</v>
      </c>
      <c r="J2829" s="3" t="str">
        <f>HYPERLINK("https://www.boe.es/gazeta/dias/1818/07/30/pdfs/GMD-1818-91.pdf#page=7","Abrir facsímil")</f>
        <v>Abrir facsímil</v>
      </c>
      <c r="K2829" s="3" t="s">
        <v>38</v>
      </c>
    </row>
    <row r="2830" spans="1:11" ht="42" customHeight="1">
      <c r="A2830" s="2" t="s">
        <v>6694</v>
      </c>
      <c r="B2830" s="2" t="s">
        <v>6694</v>
      </c>
      <c r="C2830" s="2" t="s">
        <v>26</v>
      </c>
      <c r="D2830" s="2" t="s">
        <v>27</v>
      </c>
      <c r="E2830" s="5">
        <v>-29736</v>
      </c>
      <c r="F2830" s="3" t="s">
        <v>581</v>
      </c>
      <c r="G2830" s="3" t="s">
        <v>29</v>
      </c>
      <c r="H2830" s="2" t="s">
        <v>36</v>
      </c>
      <c r="I2830" s="2" t="s">
        <v>6714</v>
      </c>
      <c r="J2830" s="3" t="str">
        <f>HYPERLINK("https://www.boe.es/gazeta/dias/1818/08/01/pdfs/GMD-1818-92.pdf#page=4","Abrir facsímil")</f>
        <v>Abrir facsímil</v>
      </c>
      <c r="K2830" s="3" t="s">
        <v>38</v>
      </c>
    </row>
    <row r="2831" spans="1:11" ht="42" customHeight="1">
      <c r="A2831" s="2" t="s">
        <v>6694</v>
      </c>
      <c r="B2831" s="2" t="s">
        <v>6694</v>
      </c>
      <c r="C2831" s="2" t="s">
        <v>57</v>
      </c>
      <c r="D2831" s="2" t="s">
        <v>18</v>
      </c>
      <c r="E2831" s="5">
        <v>-29659</v>
      </c>
      <c r="F2831" s="3" t="s">
        <v>1690</v>
      </c>
      <c r="G2831" s="3" t="s">
        <v>29</v>
      </c>
      <c r="H2831" s="2" t="s">
        <v>36</v>
      </c>
      <c r="I2831" s="2" t="s">
        <v>6715</v>
      </c>
      <c r="J2831" s="3" t="str">
        <f>HYPERLINK("https://www.boe.es/gazeta/dias/1818/10/17/pdfs/GMD-1818-126.pdf#page=4","Abrir facsímil")</f>
        <v>Abrir facsímil</v>
      </c>
      <c r="K2831" s="3" t="s">
        <v>38</v>
      </c>
    </row>
    <row r="2832" spans="1:11" ht="42" customHeight="1">
      <c r="A2832" s="2" t="s">
        <v>6694</v>
      </c>
      <c r="B2832" s="2" t="s">
        <v>6694</v>
      </c>
      <c r="C2832" s="2" t="s">
        <v>97</v>
      </c>
      <c r="D2832" s="2" t="s">
        <v>18</v>
      </c>
      <c r="E2832" s="5">
        <v>-29656</v>
      </c>
      <c r="F2832" s="3" t="s">
        <v>601</v>
      </c>
      <c r="G2832" s="3" t="s">
        <v>45</v>
      </c>
      <c r="H2832" s="2" t="s">
        <v>36</v>
      </c>
      <c r="I2832" s="2" t="s">
        <v>6716</v>
      </c>
      <c r="J2832" s="3" t="str">
        <f>HYPERLINK("https://www.boe.es/gazeta/dias/1818/10/20/pdfs/GMD-1818-127.pdf#page=8","Abrir facsímil")</f>
        <v>Abrir facsímil</v>
      </c>
      <c r="K2832" s="3" t="s">
        <v>38</v>
      </c>
    </row>
    <row r="2833" spans="1:11" ht="42" customHeight="1">
      <c r="A2833" s="2" t="s">
        <v>6694</v>
      </c>
      <c r="B2833" s="2" t="s">
        <v>6694</v>
      </c>
      <c r="C2833" s="2" t="s">
        <v>68</v>
      </c>
      <c r="D2833" s="2" t="s">
        <v>69</v>
      </c>
      <c r="E2833" s="5">
        <v>-29645</v>
      </c>
      <c r="F2833" s="3" t="s">
        <v>577</v>
      </c>
      <c r="G2833" s="3" t="s">
        <v>120</v>
      </c>
      <c r="H2833" s="2" t="s">
        <v>36</v>
      </c>
      <c r="I2833" s="2" t="s">
        <v>6717</v>
      </c>
      <c r="J2833" s="3" t="str">
        <f>HYPERLINK("https://www.boe.es/gazeta/dias/1818/10/31/pdfs/GMD-1818-132.pdf#page=2","Abrir facsímil")</f>
        <v>Abrir facsímil</v>
      </c>
      <c r="K2833" s="3" t="s">
        <v>38</v>
      </c>
    </row>
    <row r="2834" spans="1:11" ht="42" customHeight="1">
      <c r="A2834" s="2" t="s">
        <v>6694</v>
      </c>
      <c r="B2834" s="2" t="s">
        <v>6694</v>
      </c>
      <c r="C2834" s="2" t="s">
        <v>26</v>
      </c>
      <c r="D2834" s="2" t="s">
        <v>27</v>
      </c>
      <c r="E2834" s="5">
        <v>-29640</v>
      </c>
      <c r="F2834" s="3" t="s">
        <v>75</v>
      </c>
      <c r="G2834" s="3" t="s">
        <v>49</v>
      </c>
      <c r="H2834" s="2" t="s">
        <v>36</v>
      </c>
      <c r="I2834" s="2" t="s">
        <v>6718</v>
      </c>
      <c r="J2834" s="3" t="str">
        <f>HYPERLINK("https://www.boe.es/gazeta/dias/1818/11/05/pdfs/GMD-1818-134.pdf#page=1","Abrir facsímil")</f>
        <v>Abrir facsímil</v>
      </c>
      <c r="K2834" s="3" t="s">
        <v>38</v>
      </c>
    </row>
    <row r="2835" spans="1:11" ht="42" customHeight="1">
      <c r="A2835" s="2" t="s">
        <v>6694</v>
      </c>
      <c r="B2835" s="2" t="s">
        <v>6694</v>
      </c>
      <c r="C2835" s="2" t="s">
        <v>17</v>
      </c>
      <c r="D2835" s="2" t="s">
        <v>18</v>
      </c>
      <c r="E2835" s="5">
        <v>-29626</v>
      </c>
      <c r="F2835" s="3" t="s">
        <v>496</v>
      </c>
      <c r="G2835" s="3" t="s">
        <v>120</v>
      </c>
      <c r="H2835" s="2" t="s">
        <v>36</v>
      </c>
      <c r="I2835" s="2" t="s">
        <v>6719</v>
      </c>
      <c r="J2835" s="3" t="str">
        <f>HYPERLINK("https://www.boe.es/gazeta/dias/1818/11/19/pdfs/GMD-1818-140.pdf#page=2","Abrir facsímil")</f>
        <v>Abrir facsímil</v>
      </c>
      <c r="K2835" s="3" t="s">
        <v>38</v>
      </c>
    </row>
    <row r="2836" spans="1:11" ht="42" customHeight="1">
      <c r="A2836" s="2" t="s">
        <v>6694</v>
      </c>
      <c r="B2836" s="2" t="s">
        <v>6694</v>
      </c>
      <c r="C2836" s="2" t="s">
        <v>26</v>
      </c>
      <c r="D2836" s="2" t="s">
        <v>27</v>
      </c>
      <c r="E2836" s="5">
        <v>-29619</v>
      </c>
      <c r="F2836" s="3" t="s">
        <v>64</v>
      </c>
      <c r="G2836" s="3" t="s">
        <v>120</v>
      </c>
      <c r="H2836" s="2" t="s">
        <v>36</v>
      </c>
      <c r="I2836" s="2" t="s">
        <v>6720</v>
      </c>
      <c r="J2836" s="3" t="str">
        <f>HYPERLINK("https://www.boe.es/gazeta/dias/1818/11/26/pdfs/GMD-1818-143.pdf#page=2","Abrir facsímil")</f>
        <v>Abrir facsímil</v>
      </c>
      <c r="K2836" s="3" t="s">
        <v>38</v>
      </c>
    </row>
    <row r="2837" spans="1:11" ht="42" customHeight="1">
      <c r="A2837" s="2" t="s">
        <v>6694</v>
      </c>
      <c r="B2837" s="2" t="s">
        <v>6694</v>
      </c>
      <c r="C2837" s="2" t="s">
        <v>17</v>
      </c>
      <c r="D2837" s="2" t="s">
        <v>18</v>
      </c>
      <c r="E2837" s="5">
        <v>-29586</v>
      </c>
      <c r="F2837" s="3" t="s">
        <v>683</v>
      </c>
      <c r="G2837" s="3" t="s">
        <v>85</v>
      </c>
      <c r="H2837" s="2" t="s">
        <v>36</v>
      </c>
      <c r="I2837" s="2" t="s">
        <v>6721</v>
      </c>
      <c r="J2837" s="3" t="str">
        <f>HYPERLINK("https://www.boe.es/gazeta/dias/1818/12/29/pdfs/GMD-1818-158.pdf#page=3","Abrir facsímil")</f>
        <v>Abrir facsímil</v>
      </c>
      <c r="K2837" s="3" t="s">
        <v>38</v>
      </c>
    </row>
    <row r="2838" spans="1:11" ht="42" customHeight="1">
      <c r="A2838" s="2" t="s">
        <v>6722</v>
      </c>
      <c r="B2838" s="2" t="s">
        <v>6723</v>
      </c>
      <c r="C2838" s="2" t="s">
        <v>26</v>
      </c>
      <c r="D2838" s="2" t="s">
        <v>27</v>
      </c>
      <c r="E2838" s="5">
        <v>-29906</v>
      </c>
      <c r="F2838" s="3" t="s">
        <v>28</v>
      </c>
      <c r="G2838" s="3" t="s">
        <v>45</v>
      </c>
      <c r="H2838" s="2" t="s">
        <v>36</v>
      </c>
      <c r="I2838" s="2" t="s">
        <v>6724</v>
      </c>
      <c r="J2838" s="3" t="str">
        <f>HYPERLINK("https://www.boe.es/gazeta/dias/1818/02/12/pdfs/GMD-1818-19.pdf#page=8","Abrir facsímil")</f>
        <v>Abrir facsímil</v>
      </c>
      <c r="K2838" s="3" t="s">
        <v>38</v>
      </c>
    </row>
    <row r="2839" spans="1:11" ht="42" customHeight="1">
      <c r="A2839" s="2" t="s">
        <v>6725</v>
      </c>
      <c r="B2839" s="2" t="s">
        <v>6726</v>
      </c>
      <c r="C2839" s="2" t="s">
        <v>26</v>
      </c>
      <c r="D2839" s="2" t="s">
        <v>27</v>
      </c>
      <c r="E2839" s="5">
        <v>-29761</v>
      </c>
      <c r="F2839" s="3" t="s">
        <v>168</v>
      </c>
      <c r="G2839" s="3" t="s">
        <v>20</v>
      </c>
      <c r="H2839" s="2" t="s">
        <v>36</v>
      </c>
      <c r="I2839" s="2" t="s">
        <v>6727</v>
      </c>
      <c r="J2839" s="3" t="str">
        <f>HYPERLINK("https://www.boe.es/gazeta/dias/1818/07/07/pdfs/GMD-1818-81.pdf#page=7","Abrir facsímil")</f>
        <v>Abrir facsímil</v>
      </c>
      <c r="K2839" s="3" t="s">
        <v>38</v>
      </c>
    </row>
    <row r="2840" spans="1:11" ht="42" customHeight="1">
      <c r="A2840" s="2" t="s">
        <v>6728</v>
      </c>
      <c r="B2840" s="2" t="s">
        <v>6729</v>
      </c>
      <c r="C2840" s="2" t="s">
        <v>26</v>
      </c>
      <c r="D2840" s="2" t="s">
        <v>27</v>
      </c>
      <c r="E2840" s="5">
        <v>-29750</v>
      </c>
      <c r="F2840" s="3" t="s">
        <v>384</v>
      </c>
      <c r="G2840" s="3" t="s">
        <v>29</v>
      </c>
      <c r="H2840" s="2" t="s">
        <v>36</v>
      </c>
      <c r="I2840" s="2" t="s">
        <v>6730</v>
      </c>
      <c r="J2840" s="3" t="str">
        <f>HYPERLINK("https://www.boe.es/gazeta/dias/1818/07/18/pdfs/GMD-1818-86.pdf#page=4","Abrir facsímil")</f>
        <v>Abrir facsímil</v>
      </c>
      <c r="K2840" s="3" t="s">
        <v>38</v>
      </c>
    </row>
    <row r="2841" spans="1:11" ht="42" customHeight="1">
      <c r="A2841" s="2" t="s">
        <v>6731</v>
      </c>
      <c r="B2841" s="2" t="s">
        <v>6732</v>
      </c>
      <c r="C2841" s="2" t="s">
        <v>17</v>
      </c>
      <c r="D2841" s="2" t="s">
        <v>668</v>
      </c>
      <c r="E2841" s="5">
        <v>-29661</v>
      </c>
      <c r="F2841" s="3" t="s">
        <v>669</v>
      </c>
      <c r="G2841" s="3" t="s">
        <v>85</v>
      </c>
      <c r="H2841" s="2" t="s">
        <v>36</v>
      </c>
      <c r="I2841" s="2" t="s">
        <v>6733</v>
      </c>
      <c r="J2841" s="3" t="str">
        <f>HYPERLINK("https://www.boe.es/gazeta/dias/1818/10/15/pdfs/GMD-1818-125E.pdf#page=3","Abrir facsímil")</f>
        <v>Abrir facsímil</v>
      </c>
      <c r="K2841" s="3" t="s">
        <v>38</v>
      </c>
    </row>
    <row r="2842" spans="1:11" ht="42" customHeight="1">
      <c r="A2842" s="2" t="s">
        <v>6734</v>
      </c>
      <c r="B2842" s="2" t="s">
        <v>6734</v>
      </c>
      <c r="C2842" s="2" t="s">
        <v>17</v>
      </c>
      <c r="D2842" s="2" t="s">
        <v>18</v>
      </c>
      <c r="E2842" s="5">
        <v>-29703</v>
      </c>
      <c r="F2842" s="3" t="s">
        <v>294</v>
      </c>
      <c r="G2842" s="3" t="s">
        <v>120</v>
      </c>
      <c r="H2842" s="2" t="s">
        <v>36</v>
      </c>
      <c r="I2842" s="2" t="s">
        <v>6735</v>
      </c>
      <c r="J2842" s="3" t="str">
        <f>HYPERLINK("https://www.boe.es/gazeta/dias/1818/09/03/pdfs/GMD-1818-106.pdf#page=2","Abrir facsímil")</f>
        <v>Abrir facsímil</v>
      </c>
      <c r="K2842" s="3" t="s">
        <v>38</v>
      </c>
    </row>
    <row r="2843" spans="1:11" ht="42" customHeight="1">
      <c r="A2843" s="2" t="s">
        <v>6736</v>
      </c>
      <c r="B2843" s="2" t="s">
        <v>6737</v>
      </c>
      <c r="C2843" s="2" t="s">
        <v>26</v>
      </c>
      <c r="D2843" s="2" t="s">
        <v>27</v>
      </c>
      <c r="E2843" s="5">
        <v>-29596</v>
      </c>
      <c r="F2843" s="3" t="s">
        <v>555</v>
      </c>
      <c r="G2843" s="3" t="s">
        <v>20</v>
      </c>
      <c r="H2843" s="2" t="s">
        <v>36</v>
      </c>
      <c r="I2843" s="2" t="s">
        <v>6738</v>
      </c>
      <c r="J2843" s="3" t="str">
        <f>HYPERLINK("https://www.boe.es/gazeta/dias/1818/12/19/pdfs/GMD-1818-153.pdf#page=7","Abrir facsímil")</f>
        <v>Abrir facsímil</v>
      </c>
      <c r="K2843" s="3" t="s">
        <v>38</v>
      </c>
    </row>
    <row r="2844" spans="1:11" ht="42" customHeight="1">
      <c r="A2844" s="2" t="s">
        <v>6739</v>
      </c>
      <c r="B2844" s="2" t="s">
        <v>6740</v>
      </c>
      <c r="C2844" s="2" t="s">
        <v>26</v>
      </c>
      <c r="D2844" s="2" t="s">
        <v>27</v>
      </c>
      <c r="E2844" s="5">
        <v>-29761</v>
      </c>
      <c r="F2844" s="3" t="s">
        <v>168</v>
      </c>
      <c r="G2844" s="3" t="s">
        <v>1238</v>
      </c>
      <c r="H2844" s="2" t="s">
        <v>36</v>
      </c>
      <c r="I2844" s="2" t="s">
        <v>6741</v>
      </c>
      <c r="J2844" s="3" t="str">
        <f>HYPERLINK("https://www.boe.es/gazeta/dias/1818/07/07/pdfs/GMD-1818-81.pdf#page=8","Abrir facsímil")</f>
        <v>Abrir facsímil</v>
      </c>
      <c r="K2844" s="3" t="s">
        <v>38</v>
      </c>
    </row>
    <row r="2845" spans="1:11" ht="42" customHeight="1">
      <c r="A2845" s="2" t="s">
        <v>6742</v>
      </c>
      <c r="B2845" s="2" t="s">
        <v>6742</v>
      </c>
      <c r="C2845" s="2" t="s">
        <v>57</v>
      </c>
      <c r="D2845" s="2" t="s">
        <v>18</v>
      </c>
      <c r="E2845" s="5">
        <v>-29638</v>
      </c>
      <c r="F2845" s="3" t="s">
        <v>307</v>
      </c>
      <c r="G2845" s="3" t="s">
        <v>49</v>
      </c>
      <c r="H2845" s="2" t="s">
        <v>36</v>
      </c>
      <c r="I2845" s="2" t="s">
        <v>6743</v>
      </c>
      <c r="J2845" s="3" t="str">
        <f>HYPERLINK("https://www.boe.es/gazeta/dias/1818/11/07/pdfs/GMD-1818-135.pdf#page=1","Abrir facsímil")</f>
        <v>Abrir facsímil</v>
      </c>
      <c r="K2845" s="3" t="s">
        <v>38</v>
      </c>
    </row>
    <row r="2846" spans="1:11" ht="42" customHeight="1">
      <c r="A2846" s="2" t="s">
        <v>6744</v>
      </c>
      <c r="B2846" s="2" t="s">
        <v>6744</v>
      </c>
      <c r="C2846" s="2" t="s">
        <v>26</v>
      </c>
      <c r="D2846" s="2" t="s">
        <v>27</v>
      </c>
      <c r="E2846" s="5">
        <v>-29663</v>
      </c>
      <c r="F2846" s="3" t="s">
        <v>1011</v>
      </c>
      <c r="G2846" s="3" t="s">
        <v>49</v>
      </c>
      <c r="H2846" s="2" t="s">
        <v>36</v>
      </c>
      <c r="I2846" s="2" t="s">
        <v>6745</v>
      </c>
      <c r="J2846" s="3" t="str">
        <f>HYPERLINK("https://www.boe.es/gazeta/dias/1818/10/13/pdfs/GMD-1818-123.pdf#page=1","Abrir facsímil")</f>
        <v>Abrir facsímil</v>
      </c>
      <c r="K2846" s="3" t="s">
        <v>38</v>
      </c>
    </row>
    <row r="2847" spans="1:11" ht="42" customHeight="1">
      <c r="A2847" s="2" t="s">
        <v>6746</v>
      </c>
      <c r="B2847" s="2" t="s">
        <v>6746</v>
      </c>
      <c r="C2847" s="2" t="s">
        <v>26</v>
      </c>
      <c r="D2847" s="2" t="s">
        <v>27</v>
      </c>
      <c r="E2847" s="5">
        <v>-29929</v>
      </c>
      <c r="F2847" s="3" t="s">
        <v>204</v>
      </c>
      <c r="G2847" s="3" t="s">
        <v>45</v>
      </c>
      <c r="H2847" s="2" t="s">
        <v>36</v>
      </c>
      <c r="I2847" s="2" t="s">
        <v>6747</v>
      </c>
      <c r="J2847" s="3" t="str">
        <f>HYPERLINK("https://www.boe.es/gazeta/dias/1818/01/20/pdfs/GMD-1818-9.pdf#page=8","Abrir facsímil")</f>
        <v>Abrir facsímil</v>
      </c>
      <c r="K2847" s="3" t="s">
        <v>38</v>
      </c>
    </row>
    <row r="2848" spans="1:11" ht="42" customHeight="1">
      <c r="A2848" s="2" t="s">
        <v>6748</v>
      </c>
      <c r="B2848" s="2" t="s">
        <v>6749</v>
      </c>
      <c r="C2848" s="2" t="s">
        <v>17</v>
      </c>
      <c r="D2848" s="2" t="s">
        <v>18</v>
      </c>
      <c r="E2848" s="5">
        <v>-29698</v>
      </c>
      <c r="F2848" s="3" t="s">
        <v>148</v>
      </c>
      <c r="G2848" s="3" t="s">
        <v>29</v>
      </c>
      <c r="H2848" s="2" t="s">
        <v>36</v>
      </c>
      <c r="I2848" s="2" t="s">
        <v>6750</v>
      </c>
      <c r="J2848" s="3" t="str">
        <f>HYPERLINK("https://www.boe.es/gazeta/dias/1818/09/08/pdfs/GMD-1818-108.pdf#page=4","Abrir facsímil")</f>
        <v>Abrir facsímil</v>
      </c>
      <c r="K2848" s="3" t="s">
        <v>38</v>
      </c>
    </row>
    <row r="2849" spans="1:11" ht="42" customHeight="1">
      <c r="A2849" s="2" t="s">
        <v>6751</v>
      </c>
      <c r="B2849" s="2" t="s">
        <v>6751</v>
      </c>
      <c r="C2849" s="2" t="s">
        <v>26</v>
      </c>
      <c r="D2849" s="2" t="s">
        <v>27</v>
      </c>
      <c r="E2849" s="5">
        <v>-29677</v>
      </c>
      <c r="F2849" s="3" t="s">
        <v>157</v>
      </c>
      <c r="G2849" s="3" t="s">
        <v>49</v>
      </c>
      <c r="H2849" s="2" t="s">
        <v>36</v>
      </c>
      <c r="I2849" s="2" t="s">
        <v>6752</v>
      </c>
      <c r="J2849" s="3" t="str">
        <f>HYPERLINK("https://www.boe.es/gazeta/dias/1818/09/29/pdfs/GMD-1818-117.pdf#page=1","Abrir facsímil")</f>
        <v>Abrir facsímil</v>
      </c>
      <c r="K2849" s="3" t="s">
        <v>38</v>
      </c>
    </row>
    <row r="2850" spans="1:11" ht="42" customHeight="1">
      <c r="A2850" s="2" t="s">
        <v>6753</v>
      </c>
      <c r="B2850" s="2" t="s">
        <v>6754</v>
      </c>
      <c r="C2850" s="2" t="s">
        <v>26</v>
      </c>
      <c r="D2850" s="2" t="s">
        <v>27</v>
      </c>
      <c r="E2850" s="5">
        <v>-29897</v>
      </c>
      <c r="F2850" s="3" t="s">
        <v>318</v>
      </c>
      <c r="G2850" s="3" t="s">
        <v>29</v>
      </c>
      <c r="H2850" s="2" t="s">
        <v>36</v>
      </c>
      <c r="I2850" s="2" t="s">
        <v>6755</v>
      </c>
      <c r="J2850" s="3" t="str">
        <f>HYPERLINK("https://www.boe.es/gazeta/dias/1818/02/21/pdfs/GMD-1818-23.pdf#page=4","Abrir facsímil")</f>
        <v>Abrir facsímil</v>
      </c>
      <c r="K2850" s="3" t="s">
        <v>38</v>
      </c>
    </row>
    <row r="2851" spans="1:11" ht="42" customHeight="1">
      <c r="A2851" s="2" t="s">
        <v>6756</v>
      </c>
      <c r="B2851" s="2" t="s">
        <v>6757</v>
      </c>
      <c r="C2851" s="2" t="s">
        <v>26</v>
      </c>
      <c r="D2851" s="2" t="s">
        <v>27</v>
      </c>
      <c r="E2851" s="5">
        <v>-29726</v>
      </c>
      <c r="F2851" s="3" t="s">
        <v>70</v>
      </c>
      <c r="G2851" s="3" t="s">
        <v>116</v>
      </c>
      <c r="H2851" s="2" t="s">
        <v>36</v>
      </c>
      <c r="I2851" s="2" t="s">
        <v>6758</v>
      </c>
      <c r="J2851" s="3" t="str">
        <f>HYPERLINK("https://www.boe.es/gazeta/dias/1818/08/11/pdfs/GMD-1818-96.pdf#page=12","Abrir facsímil")</f>
        <v>Abrir facsímil</v>
      </c>
      <c r="K2851" s="3" t="s">
        <v>38</v>
      </c>
    </row>
    <row r="2852" spans="1:11" ht="42" customHeight="1">
      <c r="A2852" s="2" t="s">
        <v>6759</v>
      </c>
      <c r="B2852" s="2" t="s">
        <v>6760</v>
      </c>
      <c r="C2852" s="2" t="s">
        <v>26</v>
      </c>
      <c r="D2852" s="2" t="s">
        <v>27</v>
      </c>
      <c r="E2852" s="5">
        <v>-29808</v>
      </c>
      <c r="F2852" s="3" t="s">
        <v>80</v>
      </c>
      <c r="G2852" s="3" t="s">
        <v>20</v>
      </c>
      <c r="H2852" s="2" t="s">
        <v>36</v>
      </c>
      <c r="I2852" s="2" t="s">
        <v>6761</v>
      </c>
      <c r="J2852" s="3" t="str">
        <f>HYPERLINK("https://www.boe.es/gazeta/dias/1818/05/21/pdfs/GMD-1818-61.pdf#page=7","Abrir facsímil")</f>
        <v>Abrir facsímil</v>
      </c>
      <c r="K2852" s="3" t="s">
        <v>38</v>
      </c>
    </row>
    <row r="2853" spans="1:11" ht="42" customHeight="1">
      <c r="A2853" s="2" t="s">
        <v>6759</v>
      </c>
      <c r="B2853" s="2" t="s">
        <v>6760</v>
      </c>
      <c r="C2853" s="2" t="s">
        <v>17</v>
      </c>
      <c r="D2853" s="2" t="s">
        <v>18</v>
      </c>
      <c r="E2853" s="5">
        <v>-29729</v>
      </c>
      <c r="F2853" s="3" t="s">
        <v>488</v>
      </c>
      <c r="G2853" s="3" t="s">
        <v>20</v>
      </c>
      <c r="H2853" s="2" t="s">
        <v>36</v>
      </c>
      <c r="I2853" s="2" t="s">
        <v>6762</v>
      </c>
      <c r="J2853" s="3" t="str">
        <f>HYPERLINK("https://www.boe.es/gazeta/dias/1818/08/08/pdfs/GMD-1818-95.pdf#page=7","Abrir facsímil")</f>
        <v>Abrir facsímil</v>
      </c>
      <c r="K2853" s="3" t="s">
        <v>38</v>
      </c>
    </row>
    <row r="2854" spans="1:11" ht="42" customHeight="1">
      <c r="A2854" s="2" t="s">
        <v>6763</v>
      </c>
      <c r="B2854" s="2" t="s">
        <v>6764</v>
      </c>
      <c r="C2854" s="2" t="s">
        <v>26</v>
      </c>
      <c r="D2854" s="2" t="s">
        <v>27</v>
      </c>
      <c r="E2854" s="5">
        <v>-29792</v>
      </c>
      <c r="F2854" s="3" t="s">
        <v>948</v>
      </c>
      <c r="G2854" s="3" t="s">
        <v>45</v>
      </c>
      <c r="H2854" s="2" t="s">
        <v>36</v>
      </c>
      <c r="I2854" s="2" t="s">
        <v>6765</v>
      </c>
      <c r="J2854" s="3" t="str">
        <f>HYPERLINK("https://www.boe.es/gazeta/dias/1818/06/06/pdfs/GMD-1818-68.pdf#page=8","Abrir facsímil")</f>
        <v>Abrir facsímil</v>
      </c>
      <c r="K2854" s="3" t="s">
        <v>38</v>
      </c>
    </row>
    <row r="2855" spans="1:11" ht="42" customHeight="1">
      <c r="A2855" s="2" t="s">
        <v>6766</v>
      </c>
      <c r="B2855" s="2" t="s">
        <v>6767</v>
      </c>
      <c r="C2855" s="2" t="s">
        <v>26</v>
      </c>
      <c r="D2855" s="2" t="s">
        <v>27</v>
      </c>
      <c r="E2855" s="5">
        <v>-29813</v>
      </c>
      <c r="F2855" s="3" t="s">
        <v>839</v>
      </c>
      <c r="G2855" s="3" t="s">
        <v>59</v>
      </c>
      <c r="H2855" s="2" t="s">
        <v>21</v>
      </c>
      <c r="I2855" s="2" t="s">
        <v>6768</v>
      </c>
      <c r="J2855" s="3" t="str">
        <f>HYPERLINK("https://www.boe.es/gazeta/dias/1818/05/16/pdfs/GMD-1818-59.pdf#page=6","Abrir facsímil")</f>
        <v>Abrir facsímil</v>
      </c>
      <c r="K2855" s="3" t="s">
        <v>23</v>
      </c>
    </row>
    <row r="2856" spans="1:11" ht="42" customHeight="1">
      <c r="A2856" s="2" t="s">
        <v>6769</v>
      </c>
      <c r="B2856" s="2" t="s">
        <v>6769</v>
      </c>
      <c r="C2856" s="2" t="s">
        <v>26</v>
      </c>
      <c r="D2856" s="2" t="s">
        <v>27</v>
      </c>
      <c r="E2856" s="5">
        <v>-29925</v>
      </c>
      <c r="F2856" s="3" t="s">
        <v>447</v>
      </c>
      <c r="G2856" s="3" t="s">
        <v>120</v>
      </c>
      <c r="H2856" s="2" t="s">
        <v>36</v>
      </c>
      <c r="I2856" s="2" t="s">
        <v>6770</v>
      </c>
      <c r="J2856" s="3" t="str">
        <f>HYPERLINK("https://www.boe.es/gazeta/dias/1818/01/24/pdfs/GMD-1818-11.pdf#page=2","Abrir facsímil")</f>
        <v>Abrir facsímil</v>
      </c>
      <c r="K2856" s="3" t="s">
        <v>38</v>
      </c>
    </row>
    <row r="2857" spans="1:11" ht="42" customHeight="1">
      <c r="A2857" s="2" t="s">
        <v>6771</v>
      </c>
      <c r="B2857" s="2" t="s">
        <v>6772</v>
      </c>
      <c r="C2857" s="2" t="s">
        <v>68</v>
      </c>
      <c r="D2857" s="2" t="s">
        <v>69</v>
      </c>
      <c r="E2857" s="5">
        <v>-29906</v>
      </c>
      <c r="F2857" s="3" t="s">
        <v>28</v>
      </c>
      <c r="G2857" s="3" t="s">
        <v>45</v>
      </c>
      <c r="H2857" s="2" t="s">
        <v>36</v>
      </c>
      <c r="I2857" s="2" t="s">
        <v>6773</v>
      </c>
      <c r="J2857" s="3" t="str">
        <f>HYPERLINK("https://www.boe.es/gazeta/dias/1818/02/12/pdfs/GMD-1818-19.pdf#page=8","Abrir facsímil")</f>
        <v>Abrir facsímil</v>
      </c>
      <c r="K2857" s="3" t="s">
        <v>38</v>
      </c>
    </row>
    <row r="2858" spans="1:11" ht="42" customHeight="1">
      <c r="A2858" s="2" t="s">
        <v>6774</v>
      </c>
      <c r="B2858" s="2" t="s">
        <v>6775</v>
      </c>
      <c r="C2858" s="2" t="s">
        <v>26</v>
      </c>
      <c r="D2858" s="2" t="s">
        <v>27</v>
      </c>
      <c r="E2858" s="5">
        <v>-29857</v>
      </c>
      <c r="F2858" s="3" t="s">
        <v>831</v>
      </c>
      <c r="G2858" s="3" t="s">
        <v>20</v>
      </c>
      <c r="H2858" s="2" t="s">
        <v>21</v>
      </c>
      <c r="I2858" s="2" t="s">
        <v>6776</v>
      </c>
      <c r="J2858" s="3" t="str">
        <f>HYPERLINK("https://www.boe.es/gazeta/dias/1818/04/02/pdfs/GMD-1818-40.pdf#page=7","Abrir facsímil")</f>
        <v>Abrir facsímil</v>
      </c>
      <c r="K2858" s="3" t="s">
        <v>23</v>
      </c>
    </row>
    <row r="2859" spans="1:11" ht="42" customHeight="1">
      <c r="A2859" s="2" t="s">
        <v>6777</v>
      </c>
      <c r="B2859" s="2" t="s">
        <v>6778</v>
      </c>
      <c r="C2859" s="2" t="s">
        <v>97</v>
      </c>
      <c r="D2859" s="2" t="s">
        <v>18</v>
      </c>
      <c r="E2859" s="5">
        <v>-29918</v>
      </c>
      <c r="F2859" s="3" t="s">
        <v>89</v>
      </c>
      <c r="G2859" s="3" t="s">
        <v>90</v>
      </c>
      <c r="H2859" s="2" t="s">
        <v>36</v>
      </c>
      <c r="I2859" s="2" t="s">
        <v>6779</v>
      </c>
      <c r="J2859" s="3" t="str">
        <f>HYPERLINK("https://www.boe.es/gazeta/dias/1818/01/31/pdfs/GMD-1818-14.pdf#page=10","Abrir facsímil")</f>
        <v>Abrir facsímil</v>
      </c>
      <c r="K2859" s="3" t="s">
        <v>38</v>
      </c>
    </row>
    <row r="2860" spans="1:11" ht="42" customHeight="1">
      <c r="A2860" s="2" t="s">
        <v>6780</v>
      </c>
      <c r="B2860" s="2" t="s">
        <v>6780</v>
      </c>
      <c r="C2860" s="2" t="s">
        <v>68</v>
      </c>
      <c r="D2860" s="2" t="s">
        <v>69</v>
      </c>
      <c r="E2860" s="5">
        <v>-29696</v>
      </c>
      <c r="F2860" s="3" t="s">
        <v>1716</v>
      </c>
      <c r="G2860" s="3" t="s">
        <v>49</v>
      </c>
      <c r="H2860" s="2" t="s">
        <v>36</v>
      </c>
      <c r="I2860" s="2" t="s">
        <v>6781</v>
      </c>
      <c r="J2860" s="3" t="str">
        <f>HYPERLINK("https://www.boe.es/gazeta/dias/1818/09/10/pdfs/GMD-1818-109.pdf#page=1","Abrir facsímil")</f>
        <v>Abrir facsímil</v>
      </c>
      <c r="K2860" s="3" t="s">
        <v>38</v>
      </c>
    </row>
    <row r="2861" spans="1:11" ht="42" customHeight="1">
      <c r="A2861" s="2" t="s">
        <v>6782</v>
      </c>
      <c r="B2861" s="2" t="s">
        <v>6783</v>
      </c>
      <c r="C2861" s="2" t="s">
        <v>26</v>
      </c>
      <c r="D2861" s="2" t="s">
        <v>27</v>
      </c>
      <c r="E2861" s="5">
        <v>-29934</v>
      </c>
      <c r="F2861" s="3" t="s">
        <v>53</v>
      </c>
      <c r="G2861" s="3" t="s">
        <v>59</v>
      </c>
      <c r="H2861" s="2" t="s">
        <v>36</v>
      </c>
      <c r="I2861" s="2" t="s">
        <v>6784</v>
      </c>
      <c r="J2861" s="3" t="str">
        <f>HYPERLINK("https://www.boe.es/gazeta/dias/1818/01/15/pdfs/GMD-1818-7.pdf#page=6","Abrir facsímil")</f>
        <v>Abrir facsímil</v>
      </c>
      <c r="K2861" s="3" t="s">
        <v>38</v>
      </c>
    </row>
    <row r="2862" spans="1:11" ht="42" customHeight="1">
      <c r="A2862" s="2" t="s">
        <v>6785</v>
      </c>
      <c r="B2862" s="2" t="s">
        <v>6786</v>
      </c>
      <c r="C2862" s="2" t="s">
        <v>26</v>
      </c>
      <c r="D2862" s="2" t="s">
        <v>27</v>
      </c>
      <c r="E2862" s="5">
        <v>-29617</v>
      </c>
      <c r="F2862" s="3" t="s">
        <v>995</v>
      </c>
      <c r="G2862" s="3" t="s">
        <v>45</v>
      </c>
      <c r="H2862" s="2" t="s">
        <v>21</v>
      </c>
      <c r="I2862" s="2" t="s">
        <v>6787</v>
      </c>
      <c r="J2862" s="3" t="str">
        <f>HYPERLINK("https://www.boe.es/gazeta/dias/1818/11/28/pdfs/GMD-1818-144.pdf#page=8","Abrir facsímil")</f>
        <v>Abrir facsímil</v>
      </c>
      <c r="K2862" s="3" t="s">
        <v>23</v>
      </c>
    </row>
    <row r="2863" spans="1:11" ht="42" customHeight="1">
      <c r="A2863" s="2" t="s">
        <v>6788</v>
      </c>
      <c r="B2863" s="2" t="s">
        <v>6789</v>
      </c>
      <c r="C2863" s="2" t="s">
        <v>17</v>
      </c>
      <c r="D2863" s="2" t="s">
        <v>18</v>
      </c>
      <c r="E2863" s="5">
        <v>-29680</v>
      </c>
      <c r="F2863" s="3" t="s">
        <v>865</v>
      </c>
      <c r="G2863" s="3" t="s">
        <v>20</v>
      </c>
      <c r="H2863" s="2" t="s">
        <v>36</v>
      </c>
      <c r="I2863" s="2" t="s">
        <v>6790</v>
      </c>
      <c r="J2863" s="3" t="str">
        <f>HYPERLINK("https://www.boe.es/gazeta/dias/1818/09/26/pdfs/GMD-1818-116.pdf#page=7","Abrir facsímil")</f>
        <v>Abrir facsímil</v>
      </c>
      <c r="K2863" s="3" t="s">
        <v>38</v>
      </c>
    </row>
    <row r="2864" spans="1:11" ht="42" customHeight="1">
      <c r="A2864" s="2" t="s">
        <v>6791</v>
      </c>
      <c r="B2864" s="2" t="s">
        <v>6792</v>
      </c>
      <c r="C2864" s="2" t="s">
        <v>68</v>
      </c>
      <c r="D2864" s="2" t="s">
        <v>69</v>
      </c>
      <c r="E2864" s="5">
        <v>-29822</v>
      </c>
      <c r="F2864" s="3" t="s">
        <v>373</v>
      </c>
      <c r="G2864" s="3" t="s">
        <v>20</v>
      </c>
      <c r="H2864" s="2" t="s">
        <v>36</v>
      </c>
      <c r="I2864" s="2" t="s">
        <v>6793</v>
      </c>
      <c r="J2864" s="3" t="str">
        <f>HYPERLINK("https://www.boe.es/gazeta/dias/1818/05/07/pdfs/GMD-1818-55.pdf#page=7","Abrir facsímil")</f>
        <v>Abrir facsímil</v>
      </c>
      <c r="K2864" s="3" t="s">
        <v>38</v>
      </c>
    </row>
    <row r="2865" spans="1:11" ht="42" customHeight="1">
      <c r="A2865" s="2" t="s">
        <v>6794</v>
      </c>
      <c r="B2865" s="2" t="s">
        <v>6795</v>
      </c>
      <c r="C2865" s="2" t="s">
        <v>26</v>
      </c>
      <c r="D2865" s="2" t="s">
        <v>27</v>
      </c>
      <c r="E2865" s="5">
        <v>-29801</v>
      </c>
      <c r="F2865" s="3" t="s">
        <v>288</v>
      </c>
      <c r="G2865" s="3" t="s">
        <v>49</v>
      </c>
      <c r="H2865" s="2" t="s">
        <v>36</v>
      </c>
      <c r="I2865" s="2" t="s">
        <v>6796</v>
      </c>
      <c r="J2865" s="3" t="str">
        <f>HYPERLINK("https://www.boe.es/gazeta/dias/1818/05/28/pdfs/GMD-1818-64.pdf#page=1","Abrir facsímil")</f>
        <v>Abrir facsímil</v>
      </c>
      <c r="K2865" s="3" t="s">
        <v>38</v>
      </c>
    </row>
    <row r="2866" spans="1:11" ht="42" customHeight="1">
      <c r="A2866" s="2" t="s">
        <v>6797</v>
      </c>
      <c r="B2866" s="2" t="s">
        <v>6798</v>
      </c>
      <c r="C2866" s="2" t="s">
        <v>26</v>
      </c>
      <c r="D2866" s="2" t="s">
        <v>27</v>
      </c>
      <c r="E2866" s="5">
        <v>-29836</v>
      </c>
      <c r="F2866" s="3" t="s">
        <v>119</v>
      </c>
      <c r="G2866" s="3" t="s">
        <v>20</v>
      </c>
      <c r="H2866" s="2" t="s">
        <v>36</v>
      </c>
      <c r="I2866" s="2" t="s">
        <v>6799</v>
      </c>
      <c r="J2866" s="3" t="str">
        <f>HYPERLINK("https://www.boe.es/gazeta/dias/1818/04/23/pdfs/GMD-1818-49.pdf#page=7","Abrir facsímil")</f>
        <v>Abrir facsímil</v>
      </c>
      <c r="K2866" s="3" t="s">
        <v>38</v>
      </c>
    </row>
    <row r="2867" spans="1:11" ht="42" customHeight="1">
      <c r="A2867" s="2" t="s">
        <v>6800</v>
      </c>
      <c r="B2867" s="2" t="s">
        <v>6801</v>
      </c>
      <c r="C2867" s="2" t="s">
        <v>26</v>
      </c>
      <c r="D2867" s="2" t="s">
        <v>27</v>
      </c>
      <c r="E2867" s="5">
        <v>-29913</v>
      </c>
      <c r="F2867" s="3" t="s">
        <v>449</v>
      </c>
      <c r="G2867" s="3" t="s">
        <v>45</v>
      </c>
      <c r="H2867" s="2" t="s">
        <v>36</v>
      </c>
      <c r="I2867" s="2" t="s">
        <v>6802</v>
      </c>
      <c r="J2867" s="3" t="str">
        <f>HYPERLINK("https://www.boe.es/gazeta/dias/1818/02/05/pdfs/GMD-1818-16.pdf#page=8","Abrir facsímil")</f>
        <v>Abrir facsímil</v>
      </c>
      <c r="K2867" s="3" t="s">
        <v>38</v>
      </c>
    </row>
    <row r="2868" spans="1:11" ht="42" customHeight="1">
      <c r="A2868" s="2" t="s">
        <v>6803</v>
      </c>
      <c r="B2868" s="2" t="s">
        <v>6804</v>
      </c>
      <c r="C2868" s="2" t="s">
        <v>26</v>
      </c>
      <c r="D2868" s="2" t="s">
        <v>27</v>
      </c>
      <c r="E2868" s="5">
        <v>-29642</v>
      </c>
      <c r="F2868" s="3" t="s">
        <v>248</v>
      </c>
      <c r="G2868" s="3" t="s">
        <v>249</v>
      </c>
      <c r="H2868" s="2" t="s">
        <v>36</v>
      </c>
      <c r="I2868" s="2" t="s">
        <v>6805</v>
      </c>
      <c r="J2868" s="3" t="str">
        <f>HYPERLINK("https://www.boe.es/gazeta/dias/1818/11/03/pdfs/GMD-1818-133.pdf#page=8","Abrir facsímil")</f>
        <v>Abrir facsímil</v>
      </c>
      <c r="K2868" s="3" t="s">
        <v>38</v>
      </c>
    </row>
    <row r="2869" spans="1:11" ht="42" customHeight="1">
      <c r="A2869" s="2" t="s">
        <v>6806</v>
      </c>
      <c r="B2869" s="2" t="s">
        <v>6806</v>
      </c>
      <c r="C2869" s="2" t="s">
        <v>17</v>
      </c>
      <c r="D2869" s="2" t="s">
        <v>18</v>
      </c>
      <c r="E2869" s="5">
        <v>-29873</v>
      </c>
      <c r="F2869" s="3" t="s">
        <v>323</v>
      </c>
      <c r="G2869" s="3" t="s">
        <v>29</v>
      </c>
      <c r="H2869" s="2" t="s">
        <v>36</v>
      </c>
      <c r="I2869" s="2" t="s">
        <v>6807</v>
      </c>
      <c r="J2869" s="3" t="str">
        <f>HYPERLINK("https://www.boe.es/gazeta/dias/1818/03/17/pdfs/GMD-1818-33.pdf#page=4","Abrir facsímil")</f>
        <v>Abrir facsímil</v>
      </c>
      <c r="K2869" s="3" t="s">
        <v>38</v>
      </c>
    </row>
    <row r="2870" spans="1:11" ht="42" customHeight="1">
      <c r="A2870" s="2" t="s">
        <v>6806</v>
      </c>
      <c r="B2870" s="2" t="s">
        <v>6806</v>
      </c>
      <c r="C2870" s="2" t="s">
        <v>26</v>
      </c>
      <c r="D2870" s="2" t="s">
        <v>27</v>
      </c>
      <c r="E2870" s="5">
        <v>-29824</v>
      </c>
      <c r="F2870" s="3" t="s">
        <v>101</v>
      </c>
      <c r="G2870" s="3" t="s">
        <v>49</v>
      </c>
      <c r="H2870" s="2" t="s">
        <v>36</v>
      </c>
      <c r="I2870" s="2" t="s">
        <v>6808</v>
      </c>
      <c r="J2870" s="3" t="str">
        <f>HYPERLINK("https://www.boe.es/gazeta/dias/1818/05/05/pdfs/GMD-1818-54.pdf#page=1","Abrir facsímil")</f>
        <v>Abrir facsímil</v>
      </c>
      <c r="K2870" s="3" t="s">
        <v>38</v>
      </c>
    </row>
    <row r="2871" spans="1:11" ht="42" customHeight="1">
      <c r="A2871" s="2" t="s">
        <v>6809</v>
      </c>
      <c r="B2871" s="2" t="s">
        <v>6810</v>
      </c>
      <c r="C2871" s="2" t="s">
        <v>26</v>
      </c>
      <c r="D2871" s="2" t="s">
        <v>27</v>
      </c>
      <c r="E2871" s="5">
        <v>-29740</v>
      </c>
      <c r="F2871" s="3" t="s">
        <v>152</v>
      </c>
      <c r="G2871" s="3" t="s">
        <v>20</v>
      </c>
      <c r="H2871" s="2" t="s">
        <v>36</v>
      </c>
      <c r="I2871" s="2" t="s">
        <v>6811</v>
      </c>
      <c r="J2871" s="3" t="str">
        <f>HYPERLINK("https://www.boe.es/gazeta/dias/1818/07/28/pdfs/GMD-1818-90.pdf#page=7","Abrir facsímil")</f>
        <v>Abrir facsímil</v>
      </c>
      <c r="K2871" s="3" t="s">
        <v>38</v>
      </c>
    </row>
    <row r="2872" spans="1:11" ht="42" customHeight="1">
      <c r="A2872" s="2" t="s">
        <v>6812</v>
      </c>
      <c r="B2872" s="2" t="s">
        <v>6812</v>
      </c>
      <c r="C2872" s="2" t="s">
        <v>26</v>
      </c>
      <c r="D2872" s="2" t="s">
        <v>27</v>
      </c>
      <c r="E2872" s="5">
        <v>-29764</v>
      </c>
      <c r="F2872" s="3" t="s">
        <v>464</v>
      </c>
      <c r="G2872" s="3" t="s">
        <v>59</v>
      </c>
      <c r="H2872" s="2" t="s">
        <v>36</v>
      </c>
      <c r="I2872" s="2" t="s">
        <v>6813</v>
      </c>
      <c r="J2872" s="3" t="str">
        <f>HYPERLINK("https://www.boe.es/gazeta/dias/1818/07/04/pdfs/GMD-1818-80.pdf#page=6","Abrir facsímil")</f>
        <v>Abrir facsímil</v>
      </c>
      <c r="K2872" s="3" t="s">
        <v>38</v>
      </c>
    </row>
    <row r="2873" spans="1:11" ht="42" customHeight="1">
      <c r="A2873" s="2" t="s">
        <v>6814</v>
      </c>
      <c r="B2873" s="2" t="s">
        <v>6815</v>
      </c>
      <c r="C2873" s="2" t="s">
        <v>17</v>
      </c>
      <c r="D2873" s="2" t="s">
        <v>18</v>
      </c>
      <c r="E2873" s="5">
        <v>-29687</v>
      </c>
      <c r="F2873" s="3" t="s">
        <v>686</v>
      </c>
      <c r="G2873" s="3" t="s">
        <v>106</v>
      </c>
      <c r="H2873" s="2" t="s">
        <v>36</v>
      </c>
      <c r="I2873" s="2" t="s">
        <v>6816</v>
      </c>
      <c r="J2873" s="3" t="str">
        <f>HYPERLINK("https://www.boe.es/gazeta/dias/1818/09/19/pdfs/GMD-1818-113.pdf#page=5","Abrir facsímil")</f>
        <v>Abrir facsímil</v>
      </c>
      <c r="K2873" s="3" t="s">
        <v>38</v>
      </c>
    </row>
    <row r="2874" spans="1:11" ht="42" customHeight="1">
      <c r="A2874" s="2" t="s">
        <v>6817</v>
      </c>
      <c r="B2874" s="2" t="s">
        <v>6818</v>
      </c>
      <c r="C2874" s="2" t="s">
        <v>57</v>
      </c>
      <c r="D2874" s="2" t="s">
        <v>18</v>
      </c>
      <c r="E2874" s="5">
        <v>-29677</v>
      </c>
      <c r="F2874" s="3" t="s">
        <v>157</v>
      </c>
      <c r="G2874" s="3" t="s">
        <v>158</v>
      </c>
      <c r="H2874" s="2" t="s">
        <v>36</v>
      </c>
      <c r="I2874" s="2" t="s">
        <v>6819</v>
      </c>
      <c r="J2874" s="3" t="str">
        <f>HYPERLINK("https://www.boe.es/gazeta/dias/1818/09/29/pdfs/GMD-1818-117.pdf#page=8","Abrir facsímil")</f>
        <v>Abrir facsímil</v>
      </c>
      <c r="K2874" s="3" t="s">
        <v>38</v>
      </c>
    </row>
    <row r="2875" spans="1:11" ht="42" customHeight="1">
      <c r="A2875" s="2" t="s">
        <v>6820</v>
      </c>
      <c r="B2875" s="2" t="s">
        <v>6821</v>
      </c>
      <c r="C2875" s="2" t="s">
        <v>26</v>
      </c>
      <c r="D2875" s="2" t="s">
        <v>27</v>
      </c>
      <c r="E2875" s="5">
        <v>-29740</v>
      </c>
      <c r="F2875" s="3" t="s">
        <v>152</v>
      </c>
      <c r="G2875" s="3" t="s">
        <v>106</v>
      </c>
      <c r="H2875" s="2" t="s">
        <v>36</v>
      </c>
      <c r="I2875" s="2" t="s">
        <v>6822</v>
      </c>
      <c r="J2875" s="3" t="str">
        <f>HYPERLINK("https://www.boe.es/gazeta/dias/1818/07/28/pdfs/GMD-1818-90.pdf#page=5","Abrir facsímil")</f>
        <v>Abrir facsímil</v>
      </c>
      <c r="K2875" s="3" t="s">
        <v>38</v>
      </c>
    </row>
    <row r="2876" spans="1:11" ht="42" customHeight="1">
      <c r="A2876" s="2" t="s">
        <v>6823</v>
      </c>
      <c r="B2876" s="2" t="s">
        <v>6824</v>
      </c>
      <c r="C2876" s="2" t="s">
        <v>97</v>
      </c>
      <c r="D2876" s="2" t="s">
        <v>18</v>
      </c>
      <c r="E2876" s="5">
        <v>-29682</v>
      </c>
      <c r="F2876" s="3" t="s">
        <v>170</v>
      </c>
      <c r="G2876" s="3" t="s">
        <v>20</v>
      </c>
      <c r="H2876" s="2" t="s">
        <v>36</v>
      </c>
      <c r="I2876" s="2" t="s">
        <v>6825</v>
      </c>
      <c r="J2876" s="3" t="str">
        <f>HYPERLINK("https://www.boe.es/gazeta/dias/1818/09/24/pdfs/GMD-1818-115.pdf#page=7","Abrir facsímil")</f>
        <v>Abrir facsímil</v>
      </c>
      <c r="K2876" s="3" t="s">
        <v>38</v>
      </c>
    </row>
    <row r="2877" spans="1:11" ht="42" customHeight="1">
      <c r="A2877" s="2" t="s">
        <v>6826</v>
      </c>
      <c r="B2877" s="2" t="s">
        <v>6827</v>
      </c>
      <c r="C2877" s="2" t="s">
        <v>17</v>
      </c>
      <c r="D2877" s="2" t="s">
        <v>18</v>
      </c>
      <c r="E2877" s="5">
        <v>-29752</v>
      </c>
      <c r="F2877" s="3" t="s">
        <v>165</v>
      </c>
      <c r="G2877" s="3" t="s">
        <v>59</v>
      </c>
      <c r="H2877" s="2" t="s">
        <v>36</v>
      </c>
      <c r="I2877" s="2" t="s">
        <v>6828</v>
      </c>
      <c r="J2877" s="3" t="str">
        <f>HYPERLINK("https://www.boe.es/gazeta/dias/1818/07/16/pdfs/GMD-1818-85.pdf#page=6","Abrir facsímil")</f>
        <v>Abrir facsímil</v>
      </c>
      <c r="K2877" s="3" t="s">
        <v>38</v>
      </c>
    </row>
    <row r="2878" spans="1:11" ht="42" customHeight="1">
      <c r="A2878" s="2" t="s">
        <v>6829</v>
      </c>
      <c r="B2878" s="2" t="s">
        <v>6830</v>
      </c>
      <c r="C2878" s="2" t="s">
        <v>26</v>
      </c>
      <c r="D2878" s="2" t="s">
        <v>27</v>
      </c>
      <c r="E2878" s="5">
        <v>-29929</v>
      </c>
      <c r="F2878" s="3" t="s">
        <v>204</v>
      </c>
      <c r="G2878" s="3" t="s">
        <v>29</v>
      </c>
      <c r="H2878" s="2" t="s">
        <v>36</v>
      </c>
      <c r="I2878" s="2" t="s">
        <v>6831</v>
      </c>
      <c r="J2878" s="3" t="str">
        <f>HYPERLINK("https://www.boe.es/gazeta/dias/1818/01/20/pdfs/GMD-1818-9.pdf#page=4","Abrir facsímil")</f>
        <v>Abrir facsímil</v>
      </c>
      <c r="K2878" s="3" t="s">
        <v>38</v>
      </c>
    </row>
    <row r="2879" spans="1:11" ht="42" customHeight="1">
      <c r="A2879" s="2" t="s">
        <v>6832</v>
      </c>
      <c r="B2879" s="2" t="s">
        <v>6833</v>
      </c>
      <c r="C2879" s="2" t="s">
        <v>26</v>
      </c>
      <c r="D2879" s="2" t="s">
        <v>27</v>
      </c>
      <c r="E2879" s="5">
        <v>-29586</v>
      </c>
      <c r="F2879" s="3" t="s">
        <v>683</v>
      </c>
      <c r="G2879" s="3" t="s">
        <v>20</v>
      </c>
      <c r="H2879" s="2" t="s">
        <v>36</v>
      </c>
      <c r="I2879" s="2" t="s">
        <v>6834</v>
      </c>
      <c r="J2879" s="3" t="str">
        <f>HYPERLINK("https://www.boe.es/gazeta/dias/1818/12/29/pdfs/GMD-1818-158.pdf#page=7","Abrir facsímil")</f>
        <v>Abrir facsímil</v>
      </c>
      <c r="K2879" s="3" t="s">
        <v>38</v>
      </c>
    </row>
    <row r="2880" spans="1:11" ht="42" customHeight="1">
      <c r="A2880" s="2" t="s">
        <v>6835</v>
      </c>
      <c r="B2880" s="2" t="s">
        <v>6836</v>
      </c>
      <c r="C2880" s="2" t="s">
        <v>26</v>
      </c>
      <c r="D2880" s="2" t="s">
        <v>27</v>
      </c>
      <c r="E2880" s="5">
        <v>-29722</v>
      </c>
      <c r="F2880" s="3" t="s">
        <v>1127</v>
      </c>
      <c r="G2880" s="3" t="s">
        <v>106</v>
      </c>
      <c r="H2880" s="2" t="s">
        <v>36</v>
      </c>
      <c r="I2880" s="2" t="s">
        <v>6837</v>
      </c>
      <c r="J2880" s="3" t="str">
        <f>HYPERLINK("https://www.boe.es/gazeta/dias/1818/08/15/pdfs/GMD-1818-98.pdf#page=5","Abrir facsímil")</f>
        <v>Abrir facsímil</v>
      </c>
      <c r="K2880" s="3" t="s">
        <v>38</v>
      </c>
    </row>
    <row r="2881" spans="1:11" ht="42" customHeight="1">
      <c r="A2881" s="2" t="s">
        <v>6838</v>
      </c>
      <c r="B2881" s="2" t="s">
        <v>6838</v>
      </c>
      <c r="C2881" s="2" t="s">
        <v>68</v>
      </c>
      <c r="D2881" s="2" t="s">
        <v>69</v>
      </c>
      <c r="E2881" s="5">
        <v>-29862</v>
      </c>
      <c r="F2881" s="3" t="s">
        <v>925</v>
      </c>
      <c r="G2881" s="3" t="s">
        <v>29</v>
      </c>
      <c r="H2881" s="2" t="s">
        <v>36</v>
      </c>
      <c r="I2881" s="2" t="s">
        <v>6839</v>
      </c>
      <c r="J2881" s="3" t="str">
        <f>HYPERLINK("https://www.boe.es/gazeta/dias/1818/03/28/pdfs/GMD-1818-38.pdf#page=4","Abrir facsímil")</f>
        <v>Abrir facsímil</v>
      </c>
      <c r="K2881" s="3" t="s">
        <v>38</v>
      </c>
    </row>
    <row r="2882" spans="1:11" ht="42" customHeight="1">
      <c r="A2882" s="2" t="s">
        <v>6840</v>
      </c>
      <c r="B2882" s="2" t="s">
        <v>6841</v>
      </c>
      <c r="C2882" s="2" t="s">
        <v>26</v>
      </c>
      <c r="D2882" s="2" t="s">
        <v>27</v>
      </c>
      <c r="E2882" s="5">
        <v>-29586</v>
      </c>
      <c r="F2882" s="3" t="s">
        <v>683</v>
      </c>
      <c r="G2882" s="3" t="s">
        <v>20</v>
      </c>
      <c r="H2882" s="2" t="s">
        <v>36</v>
      </c>
      <c r="I2882" s="2" t="s">
        <v>6842</v>
      </c>
      <c r="J2882" s="3" t="str">
        <f>HYPERLINK("https://www.boe.es/gazeta/dias/1818/12/29/pdfs/GMD-1818-158.pdf#page=7","Abrir facsímil")</f>
        <v>Abrir facsímil</v>
      </c>
      <c r="K2882" s="3" t="s">
        <v>38</v>
      </c>
    </row>
    <row r="2883" spans="1:11" ht="42" customHeight="1">
      <c r="A2883" s="2" t="s">
        <v>6843</v>
      </c>
      <c r="B2883" s="2" t="s">
        <v>6844</v>
      </c>
      <c r="C2883" s="2" t="s">
        <v>63</v>
      </c>
      <c r="D2883" s="2" t="s">
        <v>18</v>
      </c>
      <c r="E2883" s="5">
        <v>-29614</v>
      </c>
      <c r="F2883" s="3" t="s">
        <v>620</v>
      </c>
      <c r="G2883" s="3" t="s">
        <v>45</v>
      </c>
      <c r="H2883" s="2" t="s">
        <v>36</v>
      </c>
      <c r="I2883" s="2" t="s">
        <v>6845</v>
      </c>
      <c r="J2883" s="3" t="str">
        <f>HYPERLINK("https://www.boe.es/gazeta/dias/1818/12/01/pdfs/GMD-1818-145.pdf#page=8","Abrir facsímil")</f>
        <v>Abrir facsímil</v>
      </c>
      <c r="K2883" s="3" t="s">
        <v>38</v>
      </c>
    </row>
    <row r="2884" spans="1:11" ht="42" customHeight="1">
      <c r="A2884" s="2" t="s">
        <v>6846</v>
      </c>
      <c r="B2884" s="2" t="s">
        <v>6847</v>
      </c>
      <c r="C2884" s="2" t="s">
        <v>68</v>
      </c>
      <c r="D2884" s="2" t="s">
        <v>69</v>
      </c>
      <c r="E2884" s="5">
        <v>-29799</v>
      </c>
      <c r="F2884" s="3" t="s">
        <v>135</v>
      </c>
      <c r="G2884" s="3" t="s">
        <v>45</v>
      </c>
      <c r="H2884" s="2" t="s">
        <v>36</v>
      </c>
      <c r="I2884" s="2" t="s">
        <v>6848</v>
      </c>
      <c r="J2884" s="3" t="str">
        <f>HYPERLINK("https://www.boe.es/gazeta/dias/1818/05/30/pdfs/GMD-1818-65.pdf#page=8","Abrir facsímil")</f>
        <v>Abrir facsímil</v>
      </c>
      <c r="K2884" s="3" t="s">
        <v>38</v>
      </c>
    </row>
    <row r="2885" spans="1:11" ht="42" customHeight="1">
      <c r="A2885" s="2" t="s">
        <v>6849</v>
      </c>
      <c r="B2885" s="2" t="s">
        <v>6850</v>
      </c>
      <c r="C2885" s="2" t="s">
        <v>26</v>
      </c>
      <c r="D2885" s="2" t="s">
        <v>27</v>
      </c>
      <c r="E2885" s="5">
        <v>-29733</v>
      </c>
      <c r="F2885" s="3" t="s">
        <v>482</v>
      </c>
      <c r="G2885" s="3" t="s">
        <v>106</v>
      </c>
      <c r="H2885" s="2" t="s">
        <v>36</v>
      </c>
      <c r="I2885" s="2" t="s">
        <v>6851</v>
      </c>
      <c r="J2885" s="3" t="str">
        <f>HYPERLINK("https://www.boe.es/gazeta/dias/1818/08/04/pdfs/GMD-1818-93.pdf#page=5","Abrir facsímil")</f>
        <v>Abrir facsímil</v>
      </c>
      <c r="K2885" s="3" t="s">
        <v>38</v>
      </c>
    </row>
    <row r="2886" spans="1:11" ht="42" customHeight="1">
      <c r="A2886" s="2" t="s">
        <v>6849</v>
      </c>
      <c r="B2886" s="2" t="s">
        <v>6850</v>
      </c>
      <c r="C2886" s="2" t="s">
        <v>17</v>
      </c>
      <c r="D2886" s="2" t="s">
        <v>18</v>
      </c>
      <c r="E2886" s="5">
        <v>-29733</v>
      </c>
      <c r="F2886" s="3" t="s">
        <v>482</v>
      </c>
      <c r="G2886" s="3" t="s">
        <v>59</v>
      </c>
      <c r="H2886" s="2" t="s">
        <v>36</v>
      </c>
      <c r="I2886" s="2" t="s">
        <v>6852</v>
      </c>
      <c r="J2886" s="3" t="str">
        <f>HYPERLINK("https://www.boe.es/gazeta/dias/1818/08/04/pdfs/GMD-1818-93.pdf#page=6","Abrir facsímil")</f>
        <v>Abrir facsímil</v>
      </c>
      <c r="K2886" s="3" t="s">
        <v>38</v>
      </c>
    </row>
    <row r="2887" spans="1:11" ht="42" customHeight="1">
      <c r="A2887" s="2" t="s">
        <v>6853</v>
      </c>
      <c r="B2887" s="2" t="s">
        <v>6854</v>
      </c>
      <c r="C2887" s="2" t="s">
        <v>26</v>
      </c>
      <c r="D2887" s="2" t="s">
        <v>27</v>
      </c>
      <c r="E2887" s="5">
        <v>-29894</v>
      </c>
      <c r="F2887" s="3" t="s">
        <v>820</v>
      </c>
      <c r="G2887" s="3" t="s">
        <v>20</v>
      </c>
      <c r="H2887" s="2" t="s">
        <v>36</v>
      </c>
      <c r="I2887" s="2" t="s">
        <v>6855</v>
      </c>
      <c r="J2887" s="3" t="str">
        <f>HYPERLINK("https://www.boe.es/gazeta/dias/1818/02/24/pdfs/GMD-1818-24.pdf#page=7","Abrir facsímil")</f>
        <v>Abrir facsímil</v>
      </c>
      <c r="K2887" s="3" t="s">
        <v>38</v>
      </c>
    </row>
    <row r="2888" spans="1:11" ht="42" customHeight="1">
      <c r="A2888" s="2" t="s">
        <v>6856</v>
      </c>
      <c r="B2888" s="2" t="s">
        <v>6857</v>
      </c>
      <c r="C2888" s="2" t="s">
        <v>68</v>
      </c>
      <c r="D2888" s="2" t="s">
        <v>69</v>
      </c>
      <c r="E2888" s="5">
        <v>-29799</v>
      </c>
      <c r="F2888" s="3" t="s">
        <v>135</v>
      </c>
      <c r="G2888" s="3" t="s">
        <v>29</v>
      </c>
      <c r="H2888" s="2" t="s">
        <v>36</v>
      </c>
      <c r="I2888" s="2" t="s">
        <v>6858</v>
      </c>
      <c r="J2888" s="3" t="str">
        <f>HYPERLINK("https://www.boe.es/gazeta/dias/1818/05/30/pdfs/GMD-1818-65.pdf#page=4","Abrir facsímil")</f>
        <v>Abrir facsímil</v>
      </c>
      <c r="K2888" s="3" t="s">
        <v>38</v>
      </c>
    </row>
    <row r="2889" spans="1:11" ht="42" customHeight="1">
      <c r="A2889" s="2" t="s">
        <v>6859</v>
      </c>
      <c r="B2889" s="2" t="s">
        <v>6860</v>
      </c>
      <c r="C2889" s="2" t="s">
        <v>26</v>
      </c>
      <c r="D2889" s="2" t="s">
        <v>27</v>
      </c>
      <c r="E2889" s="5">
        <v>-29663</v>
      </c>
      <c r="F2889" s="3" t="s">
        <v>1011</v>
      </c>
      <c r="G2889" s="3" t="s">
        <v>20</v>
      </c>
      <c r="H2889" s="2" t="s">
        <v>21</v>
      </c>
      <c r="I2889" s="2" t="s">
        <v>6861</v>
      </c>
      <c r="J2889" s="3" t="str">
        <f>HYPERLINK("https://www.boe.es/gazeta/dias/1818/10/13/pdfs/GMD-1818-123.pdf#page=7","Abrir facsímil")</f>
        <v>Abrir facsímil</v>
      </c>
      <c r="K2889" s="3" t="s">
        <v>23</v>
      </c>
    </row>
    <row r="2890" spans="1:11" ht="42" customHeight="1">
      <c r="A2890" s="2" t="s">
        <v>6862</v>
      </c>
      <c r="B2890" s="2" t="s">
        <v>6863</v>
      </c>
      <c r="C2890" s="2" t="s">
        <v>26</v>
      </c>
      <c r="D2890" s="2" t="s">
        <v>27</v>
      </c>
      <c r="E2890" s="5">
        <v>-29939</v>
      </c>
      <c r="F2890" s="3" t="s">
        <v>110</v>
      </c>
      <c r="G2890" s="3" t="s">
        <v>933</v>
      </c>
      <c r="H2890" s="2" t="s">
        <v>36</v>
      </c>
      <c r="I2890" s="2" t="s">
        <v>6864</v>
      </c>
      <c r="J2890" s="3" t="str">
        <f>HYPERLINK("https://www.boe.es/gazeta/dias/1818/01/10/pdfs/GMD-1818-5.pdf#page=9","Abrir facsímil")</f>
        <v>Abrir facsímil</v>
      </c>
      <c r="K2890" s="3" t="s">
        <v>38</v>
      </c>
    </row>
    <row r="2891" spans="1:11" ht="42" customHeight="1">
      <c r="A2891" s="2" t="s">
        <v>6862</v>
      </c>
      <c r="B2891" s="2" t="s">
        <v>6863</v>
      </c>
      <c r="C2891" s="2" t="s">
        <v>26</v>
      </c>
      <c r="D2891" s="2" t="s">
        <v>27</v>
      </c>
      <c r="E2891" s="5">
        <v>-29939</v>
      </c>
      <c r="F2891" s="3" t="s">
        <v>110</v>
      </c>
      <c r="G2891" s="3" t="s">
        <v>45</v>
      </c>
      <c r="H2891" s="2" t="s">
        <v>36</v>
      </c>
      <c r="I2891" s="2" t="s">
        <v>6865</v>
      </c>
      <c r="J2891" s="3" t="str">
        <f>HYPERLINK("https://www.boe.es/gazeta/dias/1818/01/10/pdfs/GMD-1818-5.pdf#page=8","Abrir facsímil")</f>
        <v>Abrir facsímil</v>
      </c>
      <c r="K2891" s="3" t="s">
        <v>38</v>
      </c>
    </row>
    <row r="2892" spans="1:11" ht="42" customHeight="1">
      <c r="A2892" s="2" t="s">
        <v>6866</v>
      </c>
      <c r="B2892" s="2" t="s">
        <v>6867</v>
      </c>
      <c r="C2892" s="2" t="s">
        <v>17</v>
      </c>
      <c r="D2892" s="2" t="s">
        <v>18</v>
      </c>
      <c r="E2892" s="5">
        <v>-29687</v>
      </c>
      <c r="F2892" s="3" t="s">
        <v>686</v>
      </c>
      <c r="G2892" s="3" t="s">
        <v>106</v>
      </c>
      <c r="H2892" s="2" t="s">
        <v>36</v>
      </c>
      <c r="I2892" s="2" t="s">
        <v>6868</v>
      </c>
      <c r="J2892" s="3" t="str">
        <f>HYPERLINK("https://www.boe.es/gazeta/dias/1818/09/19/pdfs/GMD-1818-113.pdf#page=5","Abrir facsímil")</f>
        <v>Abrir facsímil</v>
      </c>
      <c r="K2892" s="3" t="s">
        <v>38</v>
      </c>
    </row>
    <row r="2893" spans="1:11" ht="42" customHeight="1">
      <c r="A2893" s="2" t="s">
        <v>6869</v>
      </c>
      <c r="B2893" s="2" t="s">
        <v>6870</v>
      </c>
      <c r="C2893" s="2" t="s">
        <v>26</v>
      </c>
      <c r="D2893" s="2" t="s">
        <v>27</v>
      </c>
      <c r="E2893" s="5">
        <v>-29761</v>
      </c>
      <c r="F2893" s="3" t="s">
        <v>168</v>
      </c>
      <c r="G2893" s="3" t="s">
        <v>1238</v>
      </c>
      <c r="H2893" s="2" t="s">
        <v>36</v>
      </c>
      <c r="I2893" s="2" t="s">
        <v>6871</v>
      </c>
      <c r="J2893" s="3" t="str">
        <f>HYPERLINK("https://www.boe.es/gazeta/dias/1818/07/07/pdfs/GMD-1818-81.pdf#page=8","Abrir facsímil")</f>
        <v>Abrir facsímil</v>
      </c>
      <c r="K2893" s="3" t="s">
        <v>38</v>
      </c>
    </row>
    <row r="2894" spans="1:11" ht="42" customHeight="1">
      <c r="A2894" s="2" t="s">
        <v>6872</v>
      </c>
      <c r="B2894" s="2" t="s">
        <v>6873</v>
      </c>
      <c r="C2894" s="2" t="s">
        <v>63</v>
      </c>
      <c r="D2894" s="2" t="s">
        <v>18</v>
      </c>
      <c r="E2894" s="5">
        <v>-29586</v>
      </c>
      <c r="F2894" s="3" t="s">
        <v>683</v>
      </c>
      <c r="G2894" s="3" t="s">
        <v>45</v>
      </c>
      <c r="H2894" s="2" t="s">
        <v>36</v>
      </c>
      <c r="I2894" s="2" t="s">
        <v>6874</v>
      </c>
      <c r="J2894" s="3" t="str">
        <f>HYPERLINK("https://www.boe.es/gazeta/dias/1818/12/29/pdfs/GMD-1818-158.pdf#page=8","Abrir facsímil")</f>
        <v>Abrir facsímil</v>
      </c>
      <c r="K2894" s="3" t="s">
        <v>38</v>
      </c>
    </row>
    <row r="2895" spans="1:11" ht="42" customHeight="1">
      <c r="A2895" s="2" t="s">
        <v>6875</v>
      </c>
      <c r="B2895" s="2" t="s">
        <v>6876</v>
      </c>
      <c r="C2895" s="2" t="s">
        <v>68</v>
      </c>
      <c r="D2895" s="2" t="s">
        <v>69</v>
      </c>
      <c r="E2895" s="5">
        <v>-29586</v>
      </c>
      <c r="F2895" s="3" t="s">
        <v>683</v>
      </c>
      <c r="G2895" s="3" t="s">
        <v>45</v>
      </c>
      <c r="H2895" s="2" t="s">
        <v>36</v>
      </c>
      <c r="I2895" s="2" t="s">
        <v>6877</v>
      </c>
      <c r="J2895" s="3" t="str">
        <f>HYPERLINK("https://www.boe.es/gazeta/dias/1818/12/29/pdfs/GMD-1818-158.pdf#page=8","Abrir facsímil")</f>
        <v>Abrir facsímil</v>
      </c>
      <c r="K2895" s="3" t="s">
        <v>38</v>
      </c>
    </row>
    <row r="2896" spans="1:11" ht="42" customHeight="1">
      <c r="A2896" s="2" t="s">
        <v>6878</v>
      </c>
      <c r="B2896" s="2" t="s">
        <v>6879</v>
      </c>
      <c r="C2896" s="2" t="s">
        <v>63</v>
      </c>
      <c r="D2896" s="2" t="s">
        <v>18</v>
      </c>
      <c r="E2896" s="5">
        <v>-29661</v>
      </c>
      <c r="F2896" s="3" t="s">
        <v>348</v>
      </c>
      <c r="G2896" s="3" t="s">
        <v>349</v>
      </c>
      <c r="H2896" s="2" t="s">
        <v>36</v>
      </c>
      <c r="I2896" s="2" t="s">
        <v>6880</v>
      </c>
      <c r="J2896" s="3" t="str">
        <f>HYPERLINK("https://www.boe.es/gazeta/dias/1818/10/15/pdfs/GMD-1818-124.pdf#page=8","Abrir facsímil")</f>
        <v>Abrir facsímil</v>
      </c>
      <c r="K2896" s="3" t="s">
        <v>38</v>
      </c>
    </row>
    <row r="2897" spans="1:11" ht="42" customHeight="1">
      <c r="A2897" s="2" t="s">
        <v>6881</v>
      </c>
      <c r="B2897" s="2" t="s">
        <v>6882</v>
      </c>
      <c r="C2897" s="2" t="s">
        <v>26</v>
      </c>
      <c r="D2897" s="2" t="s">
        <v>27</v>
      </c>
      <c r="E2897" s="5">
        <v>-29806</v>
      </c>
      <c r="F2897" s="3" t="s">
        <v>84</v>
      </c>
      <c r="G2897" s="3" t="s">
        <v>29</v>
      </c>
      <c r="H2897" s="2" t="s">
        <v>36</v>
      </c>
      <c r="I2897" s="2" t="s">
        <v>6883</v>
      </c>
      <c r="J2897" s="3" t="str">
        <f>HYPERLINK("https://www.boe.es/gazeta/dias/1818/05/23/pdfs/GMD-1818-62.pdf#page=4","Abrir facsímil")</f>
        <v>Abrir facsímil</v>
      </c>
      <c r="K2897" s="3" t="s">
        <v>38</v>
      </c>
    </row>
    <row r="2898" spans="1:11" ht="42" customHeight="1">
      <c r="A2898" s="2" t="s">
        <v>6884</v>
      </c>
      <c r="B2898" s="2" t="s">
        <v>6885</v>
      </c>
      <c r="C2898" s="2" t="s">
        <v>17</v>
      </c>
      <c r="D2898" s="2" t="s">
        <v>18</v>
      </c>
      <c r="E2898" s="5">
        <v>-29824</v>
      </c>
      <c r="F2898" s="3" t="s">
        <v>101</v>
      </c>
      <c r="G2898" s="3" t="s">
        <v>20</v>
      </c>
      <c r="H2898" s="2" t="s">
        <v>36</v>
      </c>
      <c r="I2898" s="2" t="s">
        <v>6886</v>
      </c>
      <c r="J2898" s="3" t="str">
        <f>HYPERLINK("https://www.boe.es/gazeta/dias/1818/05/05/pdfs/GMD-1818-54.pdf#page=7","Abrir facsímil")</f>
        <v>Abrir facsímil</v>
      </c>
      <c r="K2898" s="3" t="s">
        <v>38</v>
      </c>
    </row>
    <row r="2899" spans="1:11" ht="42" customHeight="1">
      <c r="A2899" s="2" t="s">
        <v>6887</v>
      </c>
      <c r="B2899" s="2" t="s">
        <v>6888</v>
      </c>
      <c r="C2899" s="2" t="s">
        <v>26</v>
      </c>
      <c r="D2899" s="2" t="s">
        <v>27</v>
      </c>
      <c r="E2899" s="5">
        <v>-29621</v>
      </c>
      <c r="F2899" s="3" t="s">
        <v>1561</v>
      </c>
      <c r="G2899" s="3" t="s">
        <v>1562</v>
      </c>
      <c r="H2899" s="2" t="s">
        <v>36</v>
      </c>
      <c r="I2899" s="2" t="s">
        <v>6889</v>
      </c>
      <c r="J2899" s="3" t="str">
        <f>HYPERLINK("https://www.boe.es/gazeta/dias/1818/11/24/pdfs/GMD-1818-142.pdf#page=7","Abrir facsímil")</f>
        <v>Abrir facsímil</v>
      </c>
      <c r="K2899" s="3" t="s">
        <v>38</v>
      </c>
    </row>
    <row r="2900" spans="1:11" ht="42" customHeight="1">
      <c r="A2900" s="2" t="s">
        <v>6890</v>
      </c>
      <c r="B2900" s="2" t="s">
        <v>6891</v>
      </c>
      <c r="C2900" s="2" t="s">
        <v>68</v>
      </c>
      <c r="D2900" s="2" t="s">
        <v>69</v>
      </c>
      <c r="E2900" s="5">
        <v>-29789</v>
      </c>
      <c r="F2900" s="3" t="s">
        <v>937</v>
      </c>
      <c r="G2900" s="3" t="s">
        <v>45</v>
      </c>
      <c r="H2900" s="2" t="s">
        <v>36</v>
      </c>
      <c r="I2900" s="2" t="s">
        <v>6892</v>
      </c>
      <c r="J2900" s="3" t="str">
        <f>HYPERLINK("https://www.boe.es/gazeta/dias/1818/06/09/pdfs/GMD-1818-69.pdf#page=8","Abrir facsímil")</f>
        <v>Abrir facsímil</v>
      </c>
      <c r="K2900" s="3" t="s">
        <v>38</v>
      </c>
    </row>
    <row r="2901" spans="1:11" ht="42" customHeight="1">
      <c r="A2901" s="2" t="s">
        <v>6890</v>
      </c>
      <c r="B2901" s="2" t="s">
        <v>6891</v>
      </c>
      <c r="C2901" s="2" t="s">
        <v>68</v>
      </c>
      <c r="D2901" s="2" t="s">
        <v>69</v>
      </c>
      <c r="E2901" s="5">
        <v>-29731</v>
      </c>
      <c r="F2901" s="3" t="s">
        <v>299</v>
      </c>
      <c r="G2901" s="3" t="s">
        <v>45</v>
      </c>
      <c r="H2901" s="2" t="s">
        <v>36</v>
      </c>
      <c r="I2901" s="2" t="s">
        <v>6893</v>
      </c>
      <c r="J2901" s="3" t="str">
        <f>HYPERLINK("https://www.boe.es/gazeta/dias/1818/08/06/pdfs/GMD-1818-94.pdf#page=8","Abrir facsímil")</f>
        <v>Abrir facsímil</v>
      </c>
      <c r="K2901" s="3" t="s">
        <v>38</v>
      </c>
    </row>
    <row r="2902" spans="1:11" ht="42" customHeight="1">
      <c r="A2902" s="2" t="s">
        <v>6890</v>
      </c>
      <c r="B2902" s="2" t="s">
        <v>6891</v>
      </c>
      <c r="C2902" s="2" t="s">
        <v>33</v>
      </c>
      <c r="D2902" s="2" t="s">
        <v>18</v>
      </c>
      <c r="E2902" s="5">
        <v>-29656</v>
      </c>
      <c r="F2902" s="3" t="s">
        <v>601</v>
      </c>
      <c r="G2902" s="3" t="s">
        <v>45</v>
      </c>
      <c r="H2902" s="2" t="s">
        <v>36</v>
      </c>
      <c r="I2902" s="2" t="s">
        <v>6894</v>
      </c>
      <c r="J2902" s="3" t="str">
        <f>HYPERLINK("https://www.boe.es/gazeta/dias/1818/10/20/pdfs/GMD-1818-127.pdf#page=8","Abrir facsímil")</f>
        <v>Abrir facsímil</v>
      </c>
      <c r="K2902" s="3" t="s">
        <v>38</v>
      </c>
    </row>
    <row r="2903" spans="1:11" ht="42" customHeight="1">
      <c r="A2903" s="2" t="s">
        <v>6890</v>
      </c>
      <c r="B2903" s="2" t="s">
        <v>6891</v>
      </c>
      <c r="C2903" s="2" t="s">
        <v>63</v>
      </c>
      <c r="D2903" s="2" t="s">
        <v>18</v>
      </c>
      <c r="E2903" s="5">
        <v>-29617</v>
      </c>
      <c r="F2903" s="3" t="s">
        <v>995</v>
      </c>
      <c r="G2903" s="3" t="s">
        <v>20</v>
      </c>
      <c r="H2903" s="2" t="s">
        <v>36</v>
      </c>
      <c r="I2903" s="2" t="s">
        <v>6895</v>
      </c>
      <c r="J2903" s="3" t="str">
        <f>HYPERLINK("https://www.boe.es/gazeta/dias/1818/11/28/pdfs/GMD-1818-144.pdf#page=7","Abrir facsímil")</f>
        <v>Abrir facsímil</v>
      </c>
      <c r="K2903" s="3" t="s">
        <v>38</v>
      </c>
    </row>
    <row r="2904" spans="1:11" ht="42" customHeight="1">
      <c r="A2904" s="2" t="s">
        <v>6896</v>
      </c>
      <c r="B2904" s="2" t="s">
        <v>6897</v>
      </c>
      <c r="C2904" s="2" t="s">
        <v>26</v>
      </c>
      <c r="D2904" s="2" t="s">
        <v>27</v>
      </c>
      <c r="E2904" s="5">
        <v>-29904</v>
      </c>
      <c r="F2904" s="3" t="s">
        <v>451</v>
      </c>
      <c r="G2904" s="3" t="s">
        <v>59</v>
      </c>
      <c r="H2904" s="2" t="s">
        <v>36</v>
      </c>
      <c r="I2904" s="2" t="s">
        <v>6898</v>
      </c>
      <c r="J2904" s="3" t="str">
        <f>HYPERLINK("https://www.boe.es/gazeta/dias/1818/02/14/pdfs/GMD-1818-20.pdf#page=6","Abrir facsímil")</f>
        <v>Abrir facsímil</v>
      </c>
      <c r="K2904" s="3" t="s">
        <v>38</v>
      </c>
    </row>
    <row r="2905" spans="1:11" ht="42" customHeight="1">
      <c r="A2905" s="2" t="s">
        <v>6899</v>
      </c>
      <c r="B2905" s="2" t="s">
        <v>6900</v>
      </c>
      <c r="C2905" s="2" t="s">
        <v>26</v>
      </c>
      <c r="D2905" s="2" t="s">
        <v>27</v>
      </c>
      <c r="E2905" s="5">
        <v>-29890</v>
      </c>
      <c r="F2905" s="3" t="s">
        <v>393</v>
      </c>
      <c r="G2905" s="3" t="s">
        <v>1096</v>
      </c>
      <c r="H2905" s="2" t="s">
        <v>36</v>
      </c>
      <c r="I2905" s="2" t="s">
        <v>6901</v>
      </c>
      <c r="J2905" s="3" t="str">
        <f>HYPERLINK("https://www.boe.es/gazeta/dias/1818/02/28/pdfs/GMD-1818-26.pdf#page=6","Abrir facsímil")</f>
        <v>Abrir facsímil</v>
      </c>
      <c r="K2905" s="3" t="s">
        <v>38</v>
      </c>
    </row>
    <row r="2906" spans="1:11" ht="42" customHeight="1">
      <c r="A2906" s="2" t="s">
        <v>6899</v>
      </c>
      <c r="B2906" s="2" t="s">
        <v>6900</v>
      </c>
      <c r="C2906" s="2" t="s">
        <v>17</v>
      </c>
      <c r="D2906" s="2" t="s">
        <v>18</v>
      </c>
      <c r="E2906" s="5">
        <v>-29890</v>
      </c>
      <c r="F2906" s="3" t="s">
        <v>393</v>
      </c>
      <c r="G2906" s="3" t="s">
        <v>106</v>
      </c>
      <c r="H2906" s="2" t="s">
        <v>36</v>
      </c>
      <c r="I2906" s="2" t="s">
        <v>6902</v>
      </c>
      <c r="J2906" s="3" t="str">
        <f>HYPERLINK("https://www.boe.es/gazeta/dias/1818/02/28/pdfs/GMD-1818-26.pdf#page=5","Abrir facsímil")</f>
        <v>Abrir facsímil</v>
      </c>
      <c r="K2906" s="3" t="s">
        <v>38</v>
      </c>
    </row>
    <row r="2907" spans="1:11" ht="42" customHeight="1">
      <c r="A2907" s="2" t="s">
        <v>6903</v>
      </c>
      <c r="B2907" s="2" t="s">
        <v>6904</v>
      </c>
      <c r="C2907" s="2" t="s">
        <v>26</v>
      </c>
      <c r="D2907" s="2" t="s">
        <v>27</v>
      </c>
      <c r="E2907" s="5">
        <v>-29855</v>
      </c>
      <c r="F2907" s="3" t="s">
        <v>676</v>
      </c>
      <c r="G2907" s="3" t="s">
        <v>106</v>
      </c>
      <c r="H2907" s="2" t="s">
        <v>36</v>
      </c>
      <c r="I2907" s="2" t="s">
        <v>6905</v>
      </c>
      <c r="J2907" s="3" t="str">
        <f>HYPERLINK("https://www.boe.es/gazeta/dias/1818/04/04/pdfs/GMD-1818-41.pdf#page=5","Abrir facsímil")</f>
        <v>Abrir facsímil</v>
      </c>
      <c r="K2907" s="3" t="s">
        <v>38</v>
      </c>
    </row>
    <row r="2908" spans="1:11" ht="42" customHeight="1">
      <c r="A2908" s="2" t="s">
        <v>6906</v>
      </c>
      <c r="B2908" s="2" t="s">
        <v>6907</v>
      </c>
      <c r="C2908" s="2" t="s">
        <v>68</v>
      </c>
      <c r="D2908" s="2" t="s">
        <v>69</v>
      </c>
      <c r="E2908" s="5">
        <v>-29710</v>
      </c>
      <c r="F2908" s="3" t="s">
        <v>1026</v>
      </c>
      <c r="G2908" s="3" t="s">
        <v>1626</v>
      </c>
      <c r="H2908" s="2" t="s">
        <v>36</v>
      </c>
      <c r="I2908" s="2" t="s">
        <v>6908</v>
      </c>
      <c r="J2908" s="3" t="str">
        <f>HYPERLINK("https://www.boe.es/gazeta/dias/1818/08/27/pdfs/GMD-1818-103.pdf#page=8","Abrir facsímil")</f>
        <v>Abrir facsímil</v>
      </c>
      <c r="K2908" s="3" t="s">
        <v>38</v>
      </c>
    </row>
    <row r="2909" spans="1:11" ht="42" customHeight="1">
      <c r="A2909" s="2" t="s">
        <v>6909</v>
      </c>
      <c r="B2909" s="2" t="s">
        <v>6910</v>
      </c>
      <c r="C2909" s="2" t="s">
        <v>68</v>
      </c>
      <c r="D2909" s="2" t="s">
        <v>69</v>
      </c>
      <c r="E2909" s="5">
        <v>-29638</v>
      </c>
      <c r="F2909" s="3" t="s">
        <v>307</v>
      </c>
      <c r="G2909" s="3" t="s">
        <v>45</v>
      </c>
      <c r="H2909" s="2" t="s">
        <v>36</v>
      </c>
      <c r="I2909" s="2" t="s">
        <v>6911</v>
      </c>
      <c r="J2909" s="3" t="str">
        <f>HYPERLINK("https://www.boe.es/gazeta/dias/1818/11/07/pdfs/GMD-1818-135.pdf#page=8","Abrir facsímil")</f>
        <v>Abrir facsímil</v>
      </c>
      <c r="K2909" s="3" t="s">
        <v>38</v>
      </c>
    </row>
    <row r="2910" spans="1:11" ht="42" customHeight="1">
      <c r="A2910" s="2" t="s">
        <v>6912</v>
      </c>
      <c r="B2910" s="2" t="s">
        <v>6913</v>
      </c>
      <c r="C2910" s="2" t="s">
        <v>68</v>
      </c>
      <c r="D2910" s="2" t="s">
        <v>69</v>
      </c>
      <c r="E2910" s="5">
        <v>-29668</v>
      </c>
      <c r="F2910" s="3" t="s">
        <v>2219</v>
      </c>
      <c r="G2910" s="3" t="s">
        <v>45</v>
      </c>
      <c r="H2910" s="2" t="s">
        <v>36</v>
      </c>
      <c r="I2910" s="2" t="s">
        <v>6914</v>
      </c>
      <c r="J2910" s="3" t="str">
        <f>HYPERLINK("https://www.boe.es/gazeta/dias/1818/10/08/pdfs/GMD-1818-121.pdf#page=8","Abrir facsímil")</f>
        <v>Abrir facsímil</v>
      </c>
      <c r="K2910" s="3" t="s">
        <v>38</v>
      </c>
    </row>
    <row r="2911" spans="1:11" ht="42" customHeight="1">
      <c r="A2911" s="2" t="s">
        <v>6915</v>
      </c>
      <c r="B2911" s="2" t="s">
        <v>6916</v>
      </c>
      <c r="C2911" s="2" t="s">
        <v>68</v>
      </c>
      <c r="D2911" s="2" t="s">
        <v>69</v>
      </c>
      <c r="E2911" s="5">
        <v>-29799</v>
      </c>
      <c r="F2911" s="3" t="s">
        <v>135</v>
      </c>
      <c r="G2911" s="3" t="s">
        <v>45</v>
      </c>
      <c r="H2911" s="2" t="s">
        <v>36</v>
      </c>
      <c r="I2911" s="2" t="s">
        <v>6917</v>
      </c>
      <c r="J2911" s="3" t="str">
        <f>HYPERLINK("https://www.boe.es/gazeta/dias/1818/05/30/pdfs/GMD-1818-65.pdf#page=8","Abrir facsímil")</f>
        <v>Abrir facsímil</v>
      </c>
      <c r="K2911" s="3" t="s">
        <v>38</v>
      </c>
    </row>
    <row r="2912" spans="1:11" ht="42" customHeight="1">
      <c r="A2912" s="2" t="s">
        <v>6918</v>
      </c>
      <c r="B2912" s="2" t="s">
        <v>6919</v>
      </c>
      <c r="C2912" s="2" t="s">
        <v>68</v>
      </c>
      <c r="D2912" s="2" t="s">
        <v>69</v>
      </c>
      <c r="E2912" s="5">
        <v>-29726</v>
      </c>
      <c r="F2912" s="3" t="s">
        <v>70</v>
      </c>
      <c r="G2912" s="3" t="s">
        <v>71</v>
      </c>
      <c r="H2912" s="2" t="s">
        <v>36</v>
      </c>
      <c r="I2912" s="2" t="s">
        <v>6920</v>
      </c>
      <c r="J2912" s="3" t="str">
        <f>HYPERLINK("https://www.boe.es/gazeta/dias/1818/08/11/pdfs/GMD-1818-96.pdf#page=16","Abrir facsímil")</f>
        <v>Abrir facsímil</v>
      </c>
      <c r="K2912" s="3" t="s">
        <v>38</v>
      </c>
    </row>
    <row r="2913" spans="1:11" ht="42" customHeight="1">
      <c r="A2913" s="2" t="s">
        <v>6918</v>
      </c>
      <c r="B2913" s="2" t="s">
        <v>6919</v>
      </c>
      <c r="C2913" s="2" t="s">
        <v>63</v>
      </c>
      <c r="D2913" s="2" t="s">
        <v>18</v>
      </c>
      <c r="E2913" s="5">
        <v>-29719</v>
      </c>
      <c r="F2913" s="3" t="s">
        <v>243</v>
      </c>
      <c r="G2913" s="3" t="s">
        <v>2921</v>
      </c>
      <c r="H2913" s="2" t="s">
        <v>36</v>
      </c>
      <c r="I2913" s="2" t="s">
        <v>6921</v>
      </c>
      <c r="J2913" s="3" t="str">
        <f>HYPERLINK("https://www.boe.es/gazeta/dias/1818/08/18/pdfs/GMD-1818-99.pdf#page=12","Abrir facsímil")</f>
        <v>Abrir facsímil</v>
      </c>
      <c r="K2913" s="3" t="s">
        <v>38</v>
      </c>
    </row>
    <row r="2914" spans="1:11" ht="42" customHeight="1">
      <c r="A2914" s="2" t="s">
        <v>6922</v>
      </c>
      <c r="B2914" s="2" t="s">
        <v>6923</v>
      </c>
      <c r="C2914" s="2" t="s">
        <v>57</v>
      </c>
      <c r="D2914" s="2" t="s">
        <v>18</v>
      </c>
      <c r="E2914" s="5">
        <v>-29624</v>
      </c>
      <c r="F2914" s="3" t="s">
        <v>131</v>
      </c>
      <c r="G2914" s="3" t="s">
        <v>20</v>
      </c>
      <c r="H2914" s="2" t="s">
        <v>36</v>
      </c>
      <c r="I2914" s="2" t="s">
        <v>6924</v>
      </c>
      <c r="J2914" s="3" t="str">
        <f>HYPERLINK("https://www.boe.es/gazeta/dias/1818/11/21/pdfs/GMD-1818-141.pdf#page=7","Abrir facsímil")</f>
        <v>Abrir facsímil</v>
      </c>
      <c r="K2914" s="3" t="s">
        <v>38</v>
      </c>
    </row>
    <row r="2915" spans="1:11" ht="42" customHeight="1">
      <c r="A2915" s="2" t="s">
        <v>6925</v>
      </c>
      <c r="B2915" s="2" t="s">
        <v>6926</v>
      </c>
      <c r="C2915" s="2" t="s">
        <v>26</v>
      </c>
      <c r="D2915" s="2" t="s">
        <v>27</v>
      </c>
      <c r="E2915" s="5">
        <v>-29831</v>
      </c>
      <c r="F2915" s="3" t="s">
        <v>567</v>
      </c>
      <c r="G2915" s="3" t="s">
        <v>20</v>
      </c>
      <c r="H2915" s="2" t="s">
        <v>36</v>
      </c>
      <c r="I2915" s="2" t="s">
        <v>6927</v>
      </c>
      <c r="J2915" s="3" t="str">
        <f>HYPERLINK("https://www.boe.es/gazeta/dias/1818/04/28/pdfs/GMD-1818-51.pdf#page=7","Abrir facsímil")</f>
        <v>Abrir facsímil</v>
      </c>
      <c r="K2915" s="3" t="s">
        <v>38</v>
      </c>
    </row>
    <row r="2916" spans="1:11" ht="42" customHeight="1">
      <c r="A2916" s="2" t="s">
        <v>6925</v>
      </c>
      <c r="B2916" s="2" t="s">
        <v>6926</v>
      </c>
      <c r="C2916" s="2" t="s">
        <v>26</v>
      </c>
      <c r="D2916" s="2" t="s">
        <v>27</v>
      </c>
      <c r="E2916" s="5">
        <v>-29817</v>
      </c>
      <c r="F2916" s="3" t="s">
        <v>284</v>
      </c>
      <c r="G2916" s="3" t="s">
        <v>29</v>
      </c>
      <c r="H2916" s="2" t="s">
        <v>36</v>
      </c>
      <c r="I2916" s="2" t="s">
        <v>6928</v>
      </c>
      <c r="J2916" s="3" t="str">
        <f>HYPERLINK("https://www.boe.es/gazeta/dias/1818/05/12/pdfs/GMD-1818-57.pdf#page=4","Abrir facsímil")</f>
        <v>Abrir facsímil</v>
      </c>
      <c r="K2916" s="3" t="s">
        <v>38</v>
      </c>
    </row>
    <row r="2917" spans="1:11" ht="42" customHeight="1">
      <c r="A2917" s="2" t="s">
        <v>6925</v>
      </c>
      <c r="B2917" s="2" t="s">
        <v>6926</v>
      </c>
      <c r="C2917" s="2" t="s">
        <v>26</v>
      </c>
      <c r="D2917" s="2" t="s">
        <v>27</v>
      </c>
      <c r="E2917" s="5">
        <v>-29708</v>
      </c>
      <c r="F2917" s="3" t="s">
        <v>413</v>
      </c>
      <c r="G2917" s="3" t="s">
        <v>29</v>
      </c>
      <c r="H2917" s="2" t="s">
        <v>36</v>
      </c>
      <c r="I2917" s="2" t="s">
        <v>6929</v>
      </c>
      <c r="J2917" s="3" t="str">
        <f>HYPERLINK("https://www.boe.es/gazeta/dias/1818/08/29/pdfs/GMD-1818-104.pdf#page=4","Abrir facsímil")</f>
        <v>Abrir facsímil</v>
      </c>
      <c r="K2917" s="3" t="s">
        <v>38</v>
      </c>
    </row>
    <row r="2918" spans="1:11" ht="42" customHeight="1">
      <c r="A2918" s="2" t="s">
        <v>6925</v>
      </c>
      <c r="B2918" s="2" t="s">
        <v>6926</v>
      </c>
      <c r="C2918" s="2" t="s">
        <v>26</v>
      </c>
      <c r="D2918" s="2" t="s">
        <v>27</v>
      </c>
      <c r="E2918" s="5">
        <v>-29698</v>
      </c>
      <c r="F2918" s="3" t="s">
        <v>148</v>
      </c>
      <c r="G2918" s="3" t="s">
        <v>29</v>
      </c>
      <c r="H2918" s="2" t="s">
        <v>36</v>
      </c>
      <c r="I2918" s="2" t="s">
        <v>6930</v>
      </c>
      <c r="J2918" s="3" t="str">
        <f>HYPERLINK("https://www.boe.es/gazeta/dias/1818/09/08/pdfs/GMD-1818-108.pdf#page=4","Abrir facsímil")</f>
        <v>Abrir facsímil</v>
      </c>
      <c r="K2918" s="3" t="s">
        <v>38</v>
      </c>
    </row>
    <row r="2919" spans="1:11" ht="42" customHeight="1">
      <c r="A2919" s="2" t="s">
        <v>6931</v>
      </c>
      <c r="B2919" s="2" t="s">
        <v>6932</v>
      </c>
      <c r="C2919" s="2" t="s">
        <v>17</v>
      </c>
      <c r="D2919" s="2" t="s">
        <v>18</v>
      </c>
      <c r="E2919" s="5">
        <v>-29750</v>
      </c>
      <c r="F2919" s="3" t="s">
        <v>384</v>
      </c>
      <c r="G2919" s="3" t="s">
        <v>59</v>
      </c>
      <c r="H2919" s="2" t="s">
        <v>36</v>
      </c>
      <c r="I2919" s="2" t="s">
        <v>6933</v>
      </c>
      <c r="J2919" s="3" t="str">
        <f>HYPERLINK("https://www.boe.es/gazeta/dias/1818/07/18/pdfs/GMD-1818-86.pdf#page=6","Abrir facsímil")</f>
        <v>Abrir facsímil</v>
      </c>
      <c r="K2919" s="3" t="s">
        <v>38</v>
      </c>
    </row>
    <row r="2920" spans="1:11" ht="42" customHeight="1">
      <c r="A2920" s="2" t="s">
        <v>6934</v>
      </c>
      <c r="B2920" s="2" t="s">
        <v>6935</v>
      </c>
      <c r="C2920" s="2" t="s">
        <v>68</v>
      </c>
      <c r="D2920" s="2" t="s">
        <v>69</v>
      </c>
      <c r="E2920" s="5">
        <v>-29752</v>
      </c>
      <c r="F2920" s="3" t="s">
        <v>165</v>
      </c>
      <c r="G2920" s="3" t="s">
        <v>45</v>
      </c>
      <c r="H2920" s="2" t="s">
        <v>21</v>
      </c>
      <c r="I2920" s="2" t="s">
        <v>6936</v>
      </c>
      <c r="J2920" s="3" t="str">
        <f>HYPERLINK("https://www.boe.es/gazeta/dias/1818/07/16/pdfs/GMD-1818-85.pdf#page=8","Abrir facsímil")</f>
        <v>Abrir facsímil</v>
      </c>
      <c r="K2920" s="3" t="s">
        <v>23</v>
      </c>
    </row>
    <row r="2921" spans="1:11" ht="42" customHeight="1">
      <c r="A2921" s="2" t="s">
        <v>6937</v>
      </c>
      <c r="B2921" s="2" t="s">
        <v>6938</v>
      </c>
      <c r="C2921" s="2" t="s">
        <v>26</v>
      </c>
      <c r="D2921" s="2" t="s">
        <v>27</v>
      </c>
      <c r="E2921" s="5">
        <v>-29859</v>
      </c>
      <c r="F2921" s="3" t="s">
        <v>3456</v>
      </c>
      <c r="G2921" s="3" t="s">
        <v>106</v>
      </c>
      <c r="H2921" s="2" t="s">
        <v>36</v>
      </c>
      <c r="I2921" s="2" t="s">
        <v>6939</v>
      </c>
      <c r="J2921" s="3" t="str">
        <f>HYPERLINK("https://www.boe.es/gazeta/dias/1818/03/31/pdfs/GMD-1818-39.pdf#page=5","Abrir facsímil")</f>
        <v>Abrir facsímil</v>
      </c>
      <c r="K2921" s="3" t="s">
        <v>38</v>
      </c>
    </row>
    <row r="2922" spans="1:11" ht="42" customHeight="1">
      <c r="A2922" s="2" t="s">
        <v>6940</v>
      </c>
      <c r="B2922" s="2" t="s">
        <v>6940</v>
      </c>
      <c r="C2922" s="2" t="s">
        <v>26</v>
      </c>
      <c r="D2922" s="2" t="s">
        <v>27</v>
      </c>
      <c r="E2922" s="5">
        <v>-29691</v>
      </c>
      <c r="F2922" s="3" t="s">
        <v>144</v>
      </c>
      <c r="G2922" s="3" t="s">
        <v>85</v>
      </c>
      <c r="H2922" s="2" t="s">
        <v>36</v>
      </c>
      <c r="I2922" s="2" t="s">
        <v>6941</v>
      </c>
      <c r="J2922" s="3" t="str">
        <f>HYPERLINK("https://www.boe.es/gazeta/dias/1818/09/15/pdfs/GMD-1818-111.pdf#page=3","Abrir facsímil")</f>
        <v>Abrir facsímil</v>
      </c>
      <c r="K2922" s="3" t="s">
        <v>38</v>
      </c>
    </row>
    <row r="2923" spans="1:11" ht="42" customHeight="1">
      <c r="A2923" s="2" t="s">
        <v>6942</v>
      </c>
      <c r="B2923" s="2" t="s">
        <v>6942</v>
      </c>
      <c r="C2923" s="2" t="s">
        <v>26</v>
      </c>
      <c r="D2923" s="2" t="s">
        <v>27</v>
      </c>
      <c r="E2923" s="5">
        <v>-29897</v>
      </c>
      <c r="F2923" s="3" t="s">
        <v>318</v>
      </c>
      <c r="G2923" s="3" t="s">
        <v>29</v>
      </c>
      <c r="H2923" s="2" t="s">
        <v>36</v>
      </c>
      <c r="I2923" s="2" t="s">
        <v>6943</v>
      </c>
      <c r="J2923" s="3" t="str">
        <f>HYPERLINK("https://www.boe.es/gazeta/dias/1818/02/21/pdfs/GMD-1818-23.pdf#page=4","Abrir facsímil")</f>
        <v>Abrir facsímil</v>
      </c>
      <c r="K2923" s="3" t="s">
        <v>38</v>
      </c>
    </row>
    <row r="2924" spans="1:11" ht="42" customHeight="1">
      <c r="A2924" s="2" t="s">
        <v>6944</v>
      </c>
      <c r="B2924" s="2" t="s">
        <v>6945</v>
      </c>
      <c r="C2924" s="2" t="s">
        <v>26</v>
      </c>
      <c r="D2924" s="2" t="s">
        <v>27</v>
      </c>
      <c r="E2924" s="5">
        <v>-29754</v>
      </c>
      <c r="F2924" s="3" t="s">
        <v>466</v>
      </c>
      <c r="G2924" s="3" t="s">
        <v>20</v>
      </c>
      <c r="H2924" s="2" t="s">
        <v>36</v>
      </c>
      <c r="I2924" s="2" t="s">
        <v>6946</v>
      </c>
      <c r="J2924" s="3" t="str">
        <f>HYPERLINK("https://www.boe.es/gazeta/dias/1818/07/14/pdfs/GMD-1818-84.pdf#page=7","Abrir facsímil")</f>
        <v>Abrir facsímil</v>
      </c>
      <c r="K2924" s="3" t="s">
        <v>38</v>
      </c>
    </row>
    <row r="2925" spans="1:11" ht="42" customHeight="1">
      <c r="A2925" s="2" t="s">
        <v>6947</v>
      </c>
      <c r="B2925" s="2" t="s">
        <v>6948</v>
      </c>
      <c r="C2925" s="2" t="s">
        <v>68</v>
      </c>
      <c r="D2925" s="2" t="s">
        <v>69</v>
      </c>
      <c r="E2925" s="5">
        <v>-29831</v>
      </c>
      <c r="F2925" s="3" t="s">
        <v>567</v>
      </c>
      <c r="G2925" s="3" t="s">
        <v>29</v>
      </c>
      <c r="H2925" s="2" t="s">
        <v>36</v>
      </c>
      <c r="I2925" s="2" t="s">
        <v>6949</v>
      </c>
      <c r="J2925" s="3" t="str">
        <f>HYPERLINK("https://www.boe.es/gazeta/dias/1818/04/28/pdfs/GMD-1818-51.pdf#page=4","Abrir facsímil")</f>
        <v>Abrir facsímil</v>
      </c>
      <c r="K2925" s="3" t="s">
        <v>38</v>
      </c>
    </row>
    <row r="2926" spans="1:11" ht="42" customHeight="1">
      <c r="A2926" s="2" t="s">
        <v>6950</v>
      </c>
      <c r="B2926" s="2" t="s">
        <v>6951</v>
      </c>
      <c r="C2926" s="2" t="s">
        <v>57</v>
      </c>
      <c r="D2926" s="2" t="s">
        <v>18</v>
      </c>
      <c r="E2926" s="5">
        <v>-29624</v>
      </c>
      <c r="F2926" s="3" t="s">
        <v>131</v>
      </c>
      <c r="G2926" s="3" t="s">
        <v>20</v>
      </c>
      <c r="H2926" s="2" t="s">
        <v>36</v>
      </c>
      <c r="I2926" s="2" t="s">
        <v>6952</v>
      </c>
      <c r="J2926" s="3" t="str">
        <f>HYPERLINK("https://www.boe.es/gazeta/dias/1818/11/21/pdfs/GMD-1818-141.pdf#page=7","Abrir facsímil")</f>
        <v>Abrir facsímil</v>
      </c>
      <c r="K2926" s="3" t="s">
        <v>38</v>
      </c>
    </row>
    <row r="2927" spans="1:11" ht="42" customHeight="1">
      <c r="A2927" s="2" t="s">
        <v>6953</v>
      </c>
      <c r="B2927" s="2" t="s">
        <v>6954</v>
      </c>
      <c r="C2927" s="2" t="s">
        <v>26</v>
      </c>
      <c r="D2927" s="2" t="s">
        <v>27</v>
      </c>
      <c r="E2927" s="5">
        <v>-29897</v>
      </c>
      <c r="F2927" s="3" t="s">
        <v>318</v>
      </c>
      <c r="G2927" s="3" t="s">
        <v>29</v>
      </c>
      <c r="H2927" s="2" t="s">
        <v>36</v>
      </c>
      <c r="I2927" s="2" t="s">
        <v>6955</v>
      </c>
      <c r="J2927" s="3" t="str">
        <f>HYPERLINK("https://www.boe.es/gazeta/dias/1818/02/21/pdfs/GMD-1818-23.pdf#page=4","Abrir facsímil")</f>
        <v>Abrir facsímil</v>
      </c>
      <c r="K2927" s="3" t="s">
        <v>38</v>
      </c>
    </row>
    <row r="2928" spans="1:11" ht="42" customHeight="1">
      <c r="A2928" s="2" t="s">
        <v>6956</v>
      </c>
      <c r="B2928" s="2" t="s">
        <v>6957</v>
      </c>
      <c r="C2928" s="2" t="s">
        <v>26</v>
      </c>
      <c r="D2928" s="2" t="s">
        <v>27</v>
      </c>
      <c r="E2928" s="5">
        <v>-29801</v>
      </c>
      <c r="F2928" s="3" t="s">
        <v>288</v>
      </c>
      <c r="G2928" s="3" t="s">
        <v>49</v>
      </c>
      <c r="H2928" s="2" t="s">
        <v>36</v>
      </c>
      <c r="I2928" s="2" t="s">
        <v>6958</v>
      </c>
      <c r="J2928" s="3" t="str">
        <f>HYPERLINK("https://www.boe.es/gazeta/dias/1818/05/28/pdfs/GMD-1818-64.pdf#page=1","Abrir facsímil")</f>
        <v>Abrir facsímil</v>
      </c>
      <c r="K2928" s="3" t="s">
        <v>38</v>
      </c>
    </row>
    <row r="2929" spans="1:11" ht="42" customHeight="1">
      <c r="A2929" s="2" t="s">
        <v>6959</v>
      </c>
      <c r="B2929" s="2" t="s">
        <v>6960</v>
      </c>
      <c r="C2929" s="2" t="s">
        <v>26</v>
      </c>
      <c r="D2929" s="2" t="s">
        <v>27</v>
      </c>
      <c r="E2929" s="5">
        <v>-29801</v>
      </c>
      <c r="F2929" s="3" t="s">
        <v>288</v>
      </c>
      <c r="G2929" s="3" t="s">
        <v>49</v>
      </c>
      <c r="H2929" s="2" t="s">
        <v>36</v>
      </c>
      <c r="I2929" s="2" t="s">
        <v>6961</v>
      </c>
      <c r="J2929" s="3" t="str">
        <f>HYPERLINK("https://www.boe.es/gazeta/dias/1818/05/28/pdfs/GMD-1818-64.pdf#page=1","Abrir facsímil")</f>
        <v>Abrir facsímil</v>
      </c>
      <c r="K2929" s="3" t="s">
        <v>38</v>
      </c>
    </row>
    <row r="2930" spans="1:11" ht="42" customHeight="1">
      <c r="A2930" s="2" t="s">
        <v>6962</v>
      </c>
      <c r="B2930" s="2" t="s">
        <v>6963</v>
      </c>
      <c r="C2930" s="2" t="s">
        <v>26</v>
      </c>
      <c r="D2930" s="2" t="s">
        <v>27</v>
      </c>
      <c r="E2930" s="5">
        <v>-29934</v>
      </c>
      <c r="F2930" s="3" t="s">
        <v>53</v>
      </c>
      <c r="G2930" s="3" t="s">
        <v>2001</v>
      </c>
      <c r="H2930" s="2" t="s">
        <v>36</v>
      </c>
      <c r="I2930" s="2" t="s">
        <v>6964</v>
      </c>
      <c r="J2930" s="3" t="str">
        <f>HYPERLINK("https://www.boe.es/gazeta/dias/1818/01/15/pdfs/GMD-1818-7.pdf#page=4","Abrir facsímil")</f>
        <v>Abrir facsímil</v>
      </c>
      <c r="K2930" s="3" t="s">
        <v>38</v>
      </c>
    </row>
    <row r="2931" spans="1:11" ht="42" customHeight="1">
      <c r="A2931" s="2" t="s">
        <v>6965</v>
      </c>
      <c r="B2931" s="2" t="s">
        <v>6966</v>
      </c>
      <c r="C2931" s="2" t="s">
        <v>17</v>
      </c>
      <c r="D2931" s="2" t="s">
        <v>18</v>
      </c>
      <c r="E2931" s="5">
        <v>-29859</v>
      </c>
      <c r="F2931" s="3" t="s">
        <v>3456</v>
      </c>
      <c r="G2931" s="3" t="s">
        <v>20</v>
      </c>
      <c r="H2931" s="2" t="s">
        <v>36</v>
      </c>
      <c r="I2931" s="2" t="s">
        <v>6967</v>
      </c>
      <c r="J2931" s="3" t="str">
        <f>HYPERLINK("https://www.boe.es/gazeta/dias/1818/03/31/pdfs/GMD-1818-39.pdf#page=7","Abrir facsímil")</f>
        <v>Abrir facsímil</v>
      </c>
      <c r="K2931" s="3" t="s">
        <v>38</v>
      </c>
    </row>
    <row r="2932" spans="1:11" ht="42" customHeight="1">
      <c r="A2932" s="2" t="s">
        <v>6968</v>
      </c>
      <c r="B2932" s="2" t="s">
        <v>6969</v>
      </c>
      <c r="C2932" s="2" t="s">
        <v>26</v>
      </c>
      <c r="D2932" s="2" t="s">
        <v>27</v>
      </c>
      <c r="E2932" s="5">
        <v>-29764</v>
      </c>
      <c r="F2932" s="3" t="s">
        <v>464</v>
      </c>
      <c r="G2932" s="3" t="s">
        <v>59</v>
      </c>
      <c r="H2932" s="2" t="s">
        <v>36</v>
      </c>
      <c r="I2932" s="2" t="s">
        <v>6970</v>
      </c>
      <c r="J2932" s="3" t="str">
        <f>HYPERLINK("https://www.boe.es/gazeta/dias/1818/07/04/pdfs/GMD-1818-80.pdf#page=6","Abrir facsímil")</f>
        <v>Abrir facsímil</v>
      </c>
      <c r="K2932" s="3" t="s">
        <v>38</v>
      </c>
    </row>
    <row r="2933" spans="1:11" ht="42" customHeight="1">
      <c r="A2933" s="2" t="s">
        <v>6971</v>
      </c>
      <c r="B2933" s="2" t="s">
        <v>6971</v>
      </c>
      <c r="C2933" s="2" t="s">
        <v>26</v>
      </c>
      <c r="D2933" s="2" t="s">
        <v>27</v>
      </c>
      <c r="E2933" s="5">
        <v>-29925</v>
      </c>
      <c r="F2933" s="3" t="s">
        <v>447</v>
      </c>
      <c r="G2933" s="3" t="s">
        <v>106</v>
      </c>
      <c r="H2933" s="2" t="s">
        <v>36</v>
      </c>
      <c r="I2933" s="2" t="s">
        <v>6972</v>
      </c>
      <c r="J2933" s="3" t="str">
        <f>HYPERLINK("https://www.boe.es/gazeta/dias/1818/01/24/pdfs/GMD-1818-11.pdf#page=5","Abrir facsímil")</f>
        <v>Abrir facsímil</v>
      </c>
      <c r="K2933" s="3" t="s">
        <v>38</v>
      </c>
    </row>
    <row r="2934" spans="1:11" ht="42" customHeight="1">
      <c r="A2934" s="2" t="s">
        <v>6971</v>
      </c>
      <c r="B2934" s="2" t="s">
        <v>6971</v>
      </c>
      <c r="C2934" s="2" t="s">
        <v>26</v>
      </c>
      <c r="D2934" s="2" t="s">
        <v>27</v>
      </c>
      <c r="E2934" s="5">
        <v>-29918</v>
      </c>
      <c r="F2934" s="3" t="s">
        <v>89</v>
      </c>
      <c r="G2934" s="3" t="s">
        <v>366</v>
      </c>
      <c r="H2934" s="2" t="s">
        <v>36</v>
      </c>
      <c r="I2934" s="2" t="s">
        <v>6973</v>
      </c>
      <c r="J2934" s="3" t="str">
        <f>HYPERLINK("https://www.boe.es/gazeta/dias/1818/01/31/pdfs/GMD-1818-14.pdf#page=5","Abrir facsímil")</f>
        <v>Abrir facsímil</v>
      </c>
      <c r="K2934" s="3" t="s">
        <v>38</v>
      </c>
    </row>
    <row r="2935" spans="1:11" ht="42" customHeight="1">
      <c r="A2935" s="2" t="s">
        <v>6971</v>
      </c>
      <c r="B2935" s="2" t="s">
        <v>6971</v>
      </c>
      <c r="C2935" s="2" t="s">
        <v>26</v>
      </c>
      <c r="D2935" s="2" t="s">
        <v>27</v>
      </c>
      <c r="E2935" s="5">
        <v>-29887</v>
      </c>
      <c r="F2935" s="3" t="s">
        <v>613</v>
      </c>
      <c r="G2935" s="3" t="s">
        <v>20</v>
      </c>
      <c r="H2935" s="2" t="s">
        <v>36</v>
      </c>
      <c r="I2935" s="2" t="s">
        <v>6974</v>
      </c>
      <c r="J2935" s="3" t="str">
        <f>HYPERLINK("https://www.boe.es/gazeta/dias/1818/03/03/pdfs/GMD-1818-27.pdf#page=7","Abrir facsímil")</f>
        <v>Abrir facsímil</v>
      </c>
      <c r="K2935" s="3" t="s">
        <v>38</v>
      </c>
    </row>
    <row r="2936" spans="1:11" ht="42" customHeight="1">
      <c r="A2936" s="2" t="s">
        <v>6971</v>
      </c>
      <c r="B2936" s="2" t="s">
        <v>6971</v>
      </c>
      <c r="C2936" s="2" t="s">
        <v>26</v>
      </c>
      <c r="D2936" s="2" t="s">
        <v>27</v>
      </c>
      <c r="E2936" s="5">
        <v>-29710</v>
      </c>
      <c r="F2936" s="3" t="s">
        <v>1026</v>
      </c>
      <c r="G2936" s="3" t="s">
        <v>1626</v>
      </c>
      <c r="H2936" s="2" t="s">
        <v>36</v>
      </c>
      <c r="I2936" s="2" t="s">
        <v>6975</v>
      </c>
      <c r="J2936" s="3" t="str">
        <f>HYPERLINK("https://www.boe.es/gazeta/dias/1818/08/27/pdfs/GMD-1818-103.pdf#page=8","Abrir facsímil")</f>
        <v>Abrir facsímil</v>
      </c>
      <c r="K2936" s="3" t="s">
        <v>38</v>
      </c>
    </row>
    <row r="2937" spans="1:11" ht="42" customHeight="1">
      <c r="A2937" s="2" t="s">
        <v>6976</v>
      </c>
      <c r="B2937" s="2" t="s">
        <v>6977</v>
      </c>
      <c r="C2937" s="2" t="s">
        <v>26</v>
      </c>
      <c r="D2937" s="2" t="s">
        <v>27</v>
      </c>
      <c r="E2937" s="5">
        <v>-29757</v>
      </c>
      <c r="F2937" s="3" t="s">
        <v>115</v>
      </c>
      <c r="G2937" s="3" t="s">
        <v>106</v>
      </c>
      <c r="H2937" s="2" t="s">
        <v>36</v>
      </c>
      <c r="I2937" s="2" t="s">
        <v>6978</v>
      </c>
      <c r="J2937" s="3" t="str">
        <f>HYPERLINK("https://www.boe.es/gazeta/dias/1818/07/11/pdfs/GMD-1818-83.pdf#page=5","Abrir facsímil")</f>
        <v>Abrir facsímil</v>
      </c>
      <c r="K2937" s="3" t="s">
        <v>38</v>
      </c>
    </row>
    <row r="2938" spans="1:11" ht="42" customHeight="1">
      <c r="A2938" s="2" t="s">
        <v>6979</v>
      </c>
      <c r="B2938" s="2" t="s">
        <v>6980</v>
      </c>
      <c r="C2938" s="2" t="s">
        <v>26</v>
      </c>
      <c r="D2938" s="2" t="s">
        <v>27</v>
      </c>
      <c r="E2938" s="5">
        <v>-29941</v>
      </c>
      <c r="F2938" s="3" t="s">
        <v>2259</v>
      </c>
      <c r="G2938" s="3" t="s">
        <v>5061</v>
      </c>
      <c r="H2938" s="2" t="s">
        <v>36</v>
      </c>
      <c r="I2938" s="2" t="s">
        <v>6981</v>
      </c>
      <c r="J2938" s="3" t="str">
        <f>HYPERLINK("https://www.boe.es/gazeta/dias/1818/01/08/pdfs/GMD-1818-4.pdf#page=3","Abrir facsímil")</f>
        <v>Abrir facsímil</v>
      </c>
      <c r="K2938" s="3" t="s">
        <v>38</v>
      </c>
    </row>
    <row r="2939" spans="1:11" ht="42" customHeight="1">
      <c r="A2939" s="2" t="s">
        <v>6979</v>
      </c>
      <c r="B2939" s="2" t="s">
        <v>6980</v>
      </c>
      <c r="C2939" s="2" t="s">
        <v>26</v>
      </c>
      <c r="D2939" s="2" t="s">
        <v>27</v>
      </c>
      <c r="E2939" s="5">
        <v>-29939</v>
      </c>
      <c r="F2939" s="3" t="s">
        <v>110</v>
      </c>
      <c r="G2939" s="3" t="s">
        <v>503</v>
      </c>
      <c r="H2939" s="2" t="s">
        <v>36</v>
      </c>
      <c r="I2939" s="2" t="s">
        <v>6982</v>
      </c>
      <c r="J2939" s="3" t="str">
        <f>HYPERLINK("https://www.boe.es/gazeta/dias/1818/01/10/pdfs/GMD-1818-5.pdf#page=10","Abrir facsímil")</f>
        <v>Abrir facsímil</v>
      </c>
      <c r="K2939" s="3" t="s">
        <v>38</v>
      </c>
    </row>
    <row r="2940" spans="1:11" ht="42" customHeight="1">
      <c r="A2940" s="2" t="s">
        <v>6979</v>
      </c>
      <c r="B2940" s="2" t="s">
        <v>6980</v>
      </c>
      <c r="C2940" s="2" t="s">
        <v>26</v>
      </c>
      <c r="D2940" s="2" t="s">
        <v>27</v>
      </c>
      <c r="E2940" s="5">
        <v>-29936</v>
      </c>
      <c r="F2940" s="3" t="s">
        <v>398</v>
      </c>
      <c r="G2940" s="3" t="s">
        <v>29</v>
      </c>
      <c r="H2940" s="2" t="s">
        <v>36</v>
      </c>
      <c r="I2940" s="2" t="s">
        <v>6983</v>
      </c>
      <c r="J2940" s="3" t="str">
        <f>HYPERLINK("https://www.boe.es/gazeta/dias/1818/01/13/pdfs/GMD-1818-6.pdf#page=4","Abrir facsímil")</f>
        <v>Abrir facsímil</v>
      </c>
      <c r="K2940" s="3" t="s">
        <v>38</v>
      </c>
    </row>
    <row r="2941" spans="1:11" ht="42" customHeight="1">
      <c r="A2941" s="2" t="s">
        <v>6979</v>
      </c>
      <c r="B2941" s="2" t="s">
        <v>6980</v>
      </c>
      <c r="C2941" s="2" t="s">
        <v>26</v>
      </c>
      <c r="D2941" s="2" t="s">
        <v>27</v>
      </c>
      <c r="E2941" s="5">
        <v>-29922</v>
      </c>
      <c r="F2941" s="3" t="s">
        <v>174</v>
      </c>
      <c r="G2941" s="3" t="s">
        <v>20</v>
      </c>
      <c r="H2941" s="2" t="s">
        <v>36</v>
      </c>
      <c r="I2941" s="2" t="s">
        <v>6984</v>
      </c>
      <c r="J2941" s="3" t="str">
        <f>HYPERLINK("https://www.boe.es/gazeta/dias/1818/01/27/pdfs/GMD-1818-12.pdf#page=7","Abrir facsímil")</f>
        <v>Abrir facsímil</v>
      </c>
      <c r="K2941" s="3" t="s">
        <v>38</v>
      </c>
    </row>
    <row r="2942" spans="1:11" ht="42" customHeight="1">
      <c r="A2942" s="2" t="s">
        <v>6979</v>
      </c>
      <c r="B2942" s="2" t="s">
        <v>6980</v>
      </c>
      <c r="C2942" s="2" t="s">
        <v>26</v>
      </c>
      <c r="D2942" s="2" t="s">
        <v>27</v>
      </c>
      <c r="E2942" s="5">
        <v>-29904</v>
      </c>
      <c r="F2942" s="3" t="s">
        <v>451</v>
      </c>
      <c r="G2942" s="3" t="s">
        <v>106</v>
      </c>
      <c r="H2942" s="2" t="s">
        <v>36</v>
      </c>
      <c r="I2942" s="2" t="s">
        <v>6985</v>
      </c>
      <c r="J2942" s="3" t="str">
        <f>HYPERLINK("https://www.boe.es/gazeta/dias/1818/02/14/pdfs/GMD-1818-20.pdf#page=5","Abrir facsímil")</f>
        <v>Abrir facsímil</v>
      </c>
      <c r="K2942" s="3" t="s">
        <v>38</v>
      </c>
    </row>
    <row r="2943" spans="1:11" ht="42" customHeight="1">
      <c r="A2943" s="2" t="s">
        <v>6979</v>
      </c>
      <c r="B2943" s="2" t="s">
        <v>6980</v>
      </c>
      <c r="C2943" s="2" t="s">
        <v>26</v>
      </c>
      <c r="D2943" s="2" t="s">
        <v>27</v>
      </c>
      <c r="E2943" s="5">
        <v>-29904</v>
      </c>
      <c r="F2943" s="3" t="s">
        <v>451</v>
      </c>
      <c r="G2943" s="3" t="s">
        <v>20</v>
      </c>
      <c r="H2943" s="2" t="s">
        <v>36</v>
      </c>
      <c r="I2943" s="2" t="s">
        <v>6986</v>
      </c>
      <c r="J2943" s="3" t="str">
        <f>HYPERLINK("https://www.boe.es/gazeta/dias/1818/02/14/pdfs/GMD-1818-20.pdf#page=7","Abrir facsímil")</f>
        <v>Abrir facsímil</v>
      </c>
      <c r="K2943" s="3" t="s">
        <v>38</v>
      </c>
    </row>
    <row r="2944" spans="1:11" ht="42" customHeight="1">
      <c r="A2944" s="2" t="s">
        <v>6979</v>
      </c>
      <c r="B2944" s="2" t="s">
        <v>6980</v>
      </c>
      <c r="C2944" s="2" t="s">
        <v>26</v>
      </c>
      <c r="D2944" s="2" t="s">
        <v>27</v>
      </c>
      <c r="E2944" s="5">
        <v>-29852</v>
      </c>
      <c r="F2944" s="3" t="s">
        <v>327</v>
      </c>
      <c r="G2944" s="3" t="s">
        <v>29</v>
      </c>
      <c r="H2944" s="2" t="s">
        <v>36</v>
      </c>
      <c r="I2944" s="2" t="s">
        <v>6987</v>
      </c>
      <c r="J2944" s="3" t="str">
        <f>HYPERLINK("https://www.boe.es/gazeta/dias/1818/04/07/pdfs/GMD-1818-42.pdf#page=4","Abrir facsímil")</f>
        <v>Abrir facsímil</v>
      </c>
      <c r="K2944" s="3" t="s">
        <v>38</v>
      </c>
    </row>
    <row r="2945" spans="1:11" ht="42" customHeight="1">
      <c r="A2945" s="2" t="s">
        <v>6979</v>
      </c>
      <c r="B2945" s="2" t="s">
        <v>6980</v>
      </c>
      <c r="C2945" s="2" t="s">
        <v>26</v>
      </c>
      <c r="D2945" s="2" t="s">
        <v>27</v>
      </c>
      <c r="E2945" s="5">
        <v>-29831</v>
      </c>
      <c r="F2945" s="3" t="s">
        <v>567</v>
      </c>
      <c r="G2945" s="3" t="s">
        <v>106</v>
      </c>
      <c r="H2945" s="2" t="s">
        <v>36</v>
      </c>
      <c r="I2945" s="2" t="s">
        <v>6988</v>
      </c>
      <c r="J2945" s="3" t="str">
        <f>HYPERLINK("https://www.boe.es/gazeta/dias/1818/04/28/pdfs/GMD-1818-51.pdf#page=5","Abrir facsímil")</f>
        <v>Abrir facsímil</v>
      </c>
      <c r="K2945" s="3" t="s">
        <v>38</v>
      </c>
    </row>
    <row r="2946" spans="1:11" ht="42" customHeight="1">
      <c r="A2946" s="2" t="s">
        <v>6979</v>
      </c>
      <c r="B2946" s="2" t="s">
        <v>6980</v>
      </c>
      <c r="C2946" s="2" t="s">
        <v>26</v>
      </c>
      <c r="D2946" s="2" t="s">
        <v>27</v>
      </c>
      <c r="E2946" s="5">
        <v>-29827</v>
      </c>
      <c r="F2946" s="3" t="s">
        <v>280</v>
      </c>
      <c r="G2946" s="3" t="s">
        <v>59</v>
      </c>
      <c r="H2946" s="2" t="s">
        <v>36</v>
      </c>
      <c r="I2946" s="2" t="s">
        <v>6989</v>
      </c>
      <c r="J2946" s="3" t="str">
        <f>HYPERLINK("https://www.boe.es/gazeta/dias/1818/05/02/pdfs/GMD-1818-53.pdf#page=6","Abrir facsímil")</f>
        <v>Abrir facsímil</v>
      </c>
      <c r="K2946" s="3" t="s">
        <v>38</v>
      </c>
    </row>
    <row r="2947" spans="1:11" ht="42" customHeight="1">
      <c r="A2947" s="2" t="s">
        <v>6979</v>
      </c>
      <c r="B2947" s="2" t="s">
        <v>6980</v>
      </c>
      <c r="C2947" s="2" t="s">
        <v>26</v>
      </c>
      <c r="D2947" s="2" t="s">
        <v>27</v>
      </c>
      <c r="E2947" s="5">
        <v>-29764</v>
      </c>
      <c r="F2947" s="3" t="s">
        <v>464</v>
      </c>
      <c r="G2947" s="3" t="s">
        <v>85</v>
      </c>
      <c r="H2947" s="2" t="s">
        <v>36</v>
      </c>
      <c r="I2947" s="2" t="s">
        <v>6990</v>
      </c>
      <c r="J2947" s="3" t="str">
        <f>HYPERLINK("https://www.boe.es/gazeta/dias/1818/07/04/pdfs/GMD-1818-80.pdf#page=3","Abrir facsímil")</f>
        <v>Abrir facsímil</v>
      </c>
      <c r="K2947" s="3" t="s">
        <v>38</v>
      </c>
    </row>
    <row r="2948" spans="1:11" ht="42" customHeight="1">
      <c r="A2948" s="2" t="s">
        <v>6979</v>
      </c>
      <c r="B2948" s="2" t="s">
        <v>6980</v>
      </c>
      <c r="C2948" s="2" t="s">
        <v>26</v>
      </c>
      <c r="D2948" s="2" t="s">
        <v>27</v>
      </c>
      <c r="E2948" s="5">
        <v>-29740</v>
      </c>
      <c r="F2948" s="3" t="s">
        <v>152</v>
      </c>
      <c r="G2948" s="3" t="s">
        <v>106</v>
      </c>
      <c r="H2948" s="2" t="s">
        <v>36</v>
      </c>
      <c r="I2948" s="2" t="s">
        <v>6991</v>
      </c>
      <c r="J2948" s="3" t="str">
        <f>HYPERLINK("https://www.boe.es/gazeta/dias/1818/07/28/pdfs/GMD-1818-90.pdf#page=5","Abrir facsímil")</f>
        <v>Abrir facsímil</v>
      </c>
      <c r="K2948" s="3" t="s">
        <v>38</v>
      </c>
    </row>
    <row r="2949" spans="1:11" ht="42" customHeight="1">
      <c r="A2949" s="2" t="s">
        <v>6979</v>
      </c>
      <c r="B2949" s="2" t="s">
        <v>6980</v>
      </c>
      <c r="C2949" s="2" t="s">
        <v>26</v>
      </c>
      <c r="D2949" s="2" t="s">
        <v>27</v>
      </c>
      <c r="E2949" s="5">
        <v>-29738</v>
      </c>
      <c r="F2949" s="3" t="s">
        <v>263</v>
      </c>
      <c r="G2949" s="3" t="s">
        <v>59</v>
      </c>
      <c r="H2949" s="2" t="s">
        <v>36</v>
      </c>
      <c r="I2949" s="2" t="s">
        <v>6992</v>
      </c>
      <c r="J2949" s="3" t="str">
        <f>HYPERLINK("https://www.boe.es/gazeta/dias/1818/07/30/pdfs/GMD-1818-91.pdf#page=6","Abrir facsímil")</f>
        <v>Abrir facsímil</v>
      </c>
      <c r="K2949" s="3" t="s">
        <v>38</v>
      </c>
    </row>
    <row r="2950" spans="1:11" ht="42" customHeight="1">
      <c r="A2950" s="2" t="s">
        <v>6979</v>
      </c>
      <c r="B2950" s="2" t="s">
        <v>6980</v>
      </c>
      <c r="C2950" s="2" t="s">
        <v>26</v>
      </c>
      <c r="D2950" s="2" t="s">
        <v>27</v>
      </c>
      <c r="E2950" s="5">
        <v>-29719</v>
      </c>
      <c r="F2950" s="3" t="s">
        <v>243</v>
      </c>
      <c r="G2950" s="3" t="s">
        <v>244</v>
      </c>
      <c r="H2950" s="2" t="s">
        <v>36</v>
      </c>
      <c r="I2950" s="2" t="s">
        <v>6993</v>
      </c>
      <c r="J2950" s="3" t="str">
        <f>HYPERLINK("https://www.boe.es/gazeta/dias/1818/08/18/pdfs/GMD-1818-99.pdf#page=5","Abrir facsímil")</f>
        <v>Abrir facsímil</v>
      </c>
      <c r="K2950" s="3" t="s">
        <v>38</v>
      </c>
    </row>
    <row r="2951" spans="1:11" ht="42" customHeight="1">
      <c r="A2951" s="2" t="s">
        <v>6979</v>
      </c>
      <c r="B2951" s="2" t="s">
        <v>6980</v>
      </c>
      <c r="C2951" s="2" t="s">
        <v>26</v>
      </c>
      <c r="D2951" s="2" t="s">
        <v>27</v>
      </c>
      <c r="E2951" s="5">
        <v>-29719</v>
      </c>
      <c r="F2951" s="3" t="s">
        <v>243</v>
      </c>
      <c r="G2951" s="3" t="s">
        <v>59</v>
      </c>
      <c r="H2951" s="2" t="s">
        <v>36</v>
      </c>
      <c r="I2951" s="2" t="s">
        <v>6994</v>
      </c>
      <c r="J2951" s="3" t="str">
        <f>HYPERLINK("https://www.boe.es/gazeta/dias/1818/08/18/pdfs/GMD-1818-99.pdf#page=6","Abrir facsímil")</f>
        <v>Abrir facsímil</v>
      </c>
      <c r="K2951" s="3" t="s">
        <v>38</v>
      </c>
    </row>
    <row r="2952" spans="1:11" ht="42" customHeight="1">
      <c r="A2952" s="2" t="s">
        <v>6979</v>
      </c>
      <c r="B2952" s="2" t="s">
        <v>6980</v>
      </c>
      <c r="C2952" s="2" t="s">
        <v>26</v>
      </c>
      <c r="D2952" s="2" t="s">
        <v>27</v>
      </c>
      <c r="E2952" s="5">
        <v>-29719</v>
      </c>
      <c r="F2952" s="3" t="s">
        <v>243</v>
      </c>
      <c r="G2952" s="3" t="s">
        <v>20</v>
      </c>
      <c r="H2952" s="2" t="s">
        <v>36</v>
      </c>
      <c r="I2952" s="2" t="s">
        <v>6995</v>
      </c>
      <c r="J2952" s="3" t="str">
        <f>HYPERLINK("https://www.boe.es/gazeta/dias/1818/08/18/pdfs/GMD-1818-99.pdf#page=7","Abrir facsímil")</f>
        <v>Abrir facsímil</v>
      </c>
      <c r="K2952" s="3" t="s">
        <v>38</v>
      </c>
    </row>
    <row r="2953" spans="1:11" ht="42" customHeight="1">
      <c r="A2953" s="2" t="s">
        <v>6979</v>
      </c>
      <c r="B2953" s="2" t="s">
        <v>6980</v>
      </c>
      <c r="C2953" s="2" t="s">
        <v>26</v>
      </c>
      <c r="D2953" s="2" t="s">
        <v>27</v>
      </c>
      <c r="E2953" s="5">
        <v>-29710</v>
      </c>
      <c r="F2953" s="3" t="s">
        <v>1026</v>
      </c>
      <c r="G2953" s="3" t="s">
        <v>1027</v>
      </c>
      <c r="H2953" s="2" t="s">
        <v>36</v>
      </c>
      <c r="I2953" s="2" t="s">
        <v>6996</v>
      </c>
      <c r="J2953" s="3" t="str">
        <f>HYPERLINK("https://www.boe.es/gazeta/dias/1818/08/27/pdfs/GMD-1818-103.pdf#page=6","Abrir facsímil")</f>
        <v>Abrir facsímil</v>
      </c>
      <c r="K2953" s="3" t="s">
        <v>38</v>
      </c>
    </row>
    <row r="2954" spans="1:11" ht="42" customHeight="1">
      <c r="A2954" s="2" t="s">
        <v>6979</v>
      </c>
      <c r="B2954" s="2" t="s">
        <v>6980</v>
      </c>
      <c r="C2954" s="2" t="s">
        <v>26</v>
      </c>
      <c r="D2954" s="2" t="s">
        <v>27</v>
      </c>
      <c r="E2954" s="5">
        <v>-29708</v>
      </c>
      <c r="F2954" s="3" t="s">
        <v>413</v>
      </c>
      <c r="G2954" s="3" t="s">
        <v>85</v>
      </c>
      <c r="H2954" s="2" t="s">
        <v>36</v>
      </c>
      <c r="I2954" s="2" t="s">
        <v>6997</v>
      </c>
      <c r="J2954" s="3" t="str">
        <f>HYPERLINK("https://www.boe.es/gazeta/dias/1818/08/29/pdfs/GMD-1818-104.pdf#page=3","Abrir facsímil")</f>
        <v>Abrir facsímil</v>
      </c>
      <c r="K2954" s="3" t="s">
        <v>38</v>
      </c>
    </row>
    <row r="2955" spans="1:11" ht="42" customHeight="1">
      <c r="A2955" s="2" t="s">
        <v>6979</v>
      </c>
      <c r="B2955" s="2" t="s">
        <v>6980</v>
      </c>
      <c r="C2955" s="2" t="s">
        <v>26</v>
      </c>
      <c r="D2955" s="2" t="s">
        <v>27</v>
      </c>
      <c r="E2955" s="5">
        <v>-29638</v>
      </c>
      <c r="F2955" s="3" t="s">
        <v>307</v>
      </c>
      <c r="G2955" s="3" t="s">
        <v>3588</v>
      </c>
      <c r="H2955" s="2" t="s">
        <v>36</v>
      </c>
      <c r="I2955" s="2" t="s">
        <v>6998</v>
      </c>
      <c r="J2955" s="3" t="str">
        <f>HYPERLINK("https://www.boe.es/gazeta/dias/1818/11/07/pdfs/GMD-1818-135.pdf#page=5","Abrir facsímil")</f>
        <v>Abrir facsímil</v>
      </c>
      <c r="K2955" s="3" t="s">
        <v>38</v>
      </c>
    </row>
    <row r="2956" spans="1:11" ht="42" customHeight="1">
      <c r="A2956" s="2" t="s">
        <v>6999</v>
      </c>
      <c r="B2956" s="2" t="s">
        <v>6999</v>
      </c>
      <c r="C2956" s="2" t="s">
        <v>26</v>
      </c>
      <c r="D2956" s="2" t="s">
        <v>27</v>
      </c>
      <c r="E2956" s="5">
        <v>-29757</v>
      </c>
      <c r="F2956" s="3" t="s">
        <v>115</v>
      </c>
      <c r="G2956" s="3" t="s">
        <v>106</v>
      </c>
      <c r="H2956" s="2" t="s">
        <v>36</v>
      </c>
      <c r="I2956" s="2" t="s">
        <v>7000</v>
      </c>
      <c r="J2956" s="3" t="str">
        <f>HYPERLINK("https://www.boe.es/gazeta/dias/1818/07/11/pdfs/GMD-1818-83.pdf#page=5","Abrir facsímil")</f>
        <v>Abrir facsímil</v>
      </c>
      <c r="K2956" s="3" t="s">
        <v>38</v>
      </c>
    </row>
    <row r="2957" spans="1:11" ht="42" customHeight="1">
      <c r="A2957" s="2" t="s">
        <v>7001</v>
      </c>
      <c r="B2957" s="2" t="s">
        <v>7002</v>
      </c>
      <c r="C2957" s="2" t="s">
        <v>17</v>
      </c>
      <c r="D2957" s="2" t="s">
        <v>18</v>
      </c>
      <c r="E2957" s="5">
        <v>-29663</v>
      </c>
      <c r="F2957" s="3" t="s">
        <v>1011</v>
      </c>
      <c r="G2957" s="3" t="s">
        <v>106</v>
      </c>
      <c r="H2957" s="2" t="s">
        <v>36</v>
      </c>
      <c r="I2957" s="2" t="s">
        <v>7003</v>
      </c>
      <c r="J2957" s="3" t="str">
        <f>HYPERLINK("https://www.boe.es/gazeta/dias/1818/10/13/pdfs/GMD-1818-123.pdf#page=5","Abrir facsímil")</f>
        <v>Abrir facsímil</v>
      </c>
      <c r="K2957" s="3" t="s">
        <v>38</v>
      </c>
    </row>
    <row r="2958" spans="1:11" ht="42" customHeight="1">
      <c r="A2958" s="2" t="s">
        <v>7004</v>
      </c>
      <c r="B2958" s="2" t="s">
        <v>7004</v>
      </c>
      <c r="C2958" s="2" t="s">
        <v>26</v>
      </c>
      <c r="D2958" s="2" t="s">
        <v>27</v>
      </c>
      <c r="E2958" s="5">
        <v>-29922</v>
      </c>
      <c r="F2958" s="3" t="s">
        <v>174</v>
      </c>
      <c r="G2958" s="3" t="s">
        <v>20</v>
      </c>
      <c r="H2958" s="2" t="s">
        <v>36</v>
      </c>
      <c r="I2958" s="2" t="s">
        <v>7005</v>
      </c>
      <c r="J2958" s="3" t="str">
        <f>HYPERLINK("https://www.boe.es/gazeta/dias/1818/01/27/pdfs/GMD-1818-12.pdf#page=7","Abrir facsímil")</f>
        <v>Abrir facsímil</v>
      </c>
      <c r="K2958" s="3" t="s">
        <v>38</v>
      </c>
    </row>
    <row r="2959" spans="1:11" ht="42" customHeight="1">
      <c r="A2959" s="2" t="s">
        <v>7006</v>
      </c>
      <c r="B2959" s="2" t="s">
        <v>7007</v>
      </c>
      <c r="C2959" s="2" t="s">
        <v>17</v>
      </c>
      <c r="D2959" s="2" t="s">
        <v>18</v>
      </c>
      <c r="E2959" s="5">
        <v>-29829</v>
      </c>
      <c r="F2959" s="3" t="s">
        <v>44</v>
      </c>
      <c r="G2959" s="3" t="s">
        <v>45</v>
      </c>
      <c r="H2959" s="2" t="s">
        <v>36</v>
      </c>
      <c r="I2959" s="2" t="s">
        <v>7008</v>
      </c>
      <c r="J2959" s="3" t="str">
        <f>HYPERLINK("https://www.boe.es/gazeta/dias/1818/04/30/pdfs/GMD-1818-52.pdf#page=8","Abrir facsímil")</f>
        <v>Abrir facsímil</v>
      </c>
      <c r="K2959" s="3" t="s">
        <v>38</v>
      </c>
    </row>
    <row r="2960" spans="1:11" ht="42" customHeight="1">
      <c r="A2960" s="2" t="s">
        <v>7009</v>
      </c>
      <c r="B2960" s="2" t="s">
        <v>7010</v>
      </c>
      <c r="C2960" s="2" t="s">
        <v>97</v>
      </c>
      <c r="D2960" s="2" t="s">
        <v>18</v>
      </c>
      <c r="E2960" s="5">
        <v>-29799</v>
      </c>
      <c r="F2960" s="3" t="s">
        <v>135</v>
      </c>
      <c r="G2960" s="3" t="s">
        <v>20</v>
      </c>
      <c r="H2960" s="2" t="s">
        <v>21</v>
      </c>
      <c r="I2960" s="2" t="s">
        <v>7011</v>
      </c>
      <c r="J2960" s="3" t="str">
        <f>HYPERLINK("https://www.boe.es/gazeta/dias/1818/05/30/pdfs/GMD-1818-65.pdf#page=7","Abrir facsímil")</f>
        <v>Abrir facsímil</v>
      </c>
      <c r="K2960" s="3" t="s">
        <v>23</v>
      </c>
    </row>
    <row r="2961" spans="1:11" ht="42" customHeight="1">
      <c r="A2961" s="2" t="s">
        <v>7012</v>
      </c>
      <c r="B2961" s="2" t="s">
        <v>7013</v>
      </c>
      <c r="C2961" s="2" t="s">
        <v>68</v>
      </c>
      <c r="D2961" s="2" t="s">
        <v>69</v>
      </c>
      <c r="E2961" s="5">
        <v>-29675</v>
      </c>
      <c r="F2961" s="3" t="s">
        <v>2314</v>
      </c>
      <c r="G2961" s="3" t="s">
        <v>45</v>
      </c>
      <c r="H2961" s="2" t="s">
        <v>21</v>
      </c>
      <c r="I2961" s="2" t="s">
        <v>7014</v>
      </c>
      <c r="J2961" s="3" t="str">
        <f>HYPERLINK("https://www.boe.es/gazeta/dias/1818/10/01/pdfs/GMD-1818-118.pdf#page=8","Abrir facsímil")</f>
        <v>Abrir facsímil</v>
      </c>
      <c r="K2961" s="3" t="s">
        <v>23</v>
      </c>
    </row>
    <row r="2962" spans="1:11" ht="42" customHeight="1">
      <c r="A2962" s="2" t="s">
        <v>7015</v>
      </c>
      <c r="B2962" s="2" t="s">
        <v>7016</v>
      </c>
      <c r="C2962" s="2" t="s">
        <v>215</v>
      </c>
      <c r="D2962" s="2" t="s">
        <v>18</v>
      </c>
      <c r="E2962" s="5">
        <v>-29691</v>
      </c>
      <c r="F2962" s="3" t="s">
        <v>144</v>
      </c>
      <c r="G2962" s="3" t="s">
        <v>59</v>
      </c>
      <c r="H2962" s="2" t="s">
        <v>36</v>
      </c>
      <c r="I2962" s="2" t="s">
        <v>7017</v>
      </c>
      <c r="J2962" s="3" t="str">
        <f>HYPERLINK("https://www.boe.es/gazeta/dias/1818/09/15/pdfs/GMD-1818-111.pdf#page=6","Abrir facsímil")</f>
        <v>Abrir facsímil</v>
      </c>
      <c r="K2962" s="3" t="s">
        <v>38</v>
      </c>
    </row>
    <row r="2963" spans="1:11" ht="42" customHeight="1">
      <c r="A2963" s="2" t="s">
        <v>7015</v>
      </c>
      <c r="B2963" s="2" t="s">
        <v>7016</v>
      </c>
      <c r="C2963" s="2" t="s">
        <v>97</v>
      </c>
      <c r="D2963" s="2" t="s">
        <v>18</v>
      </c>
      <c r="E2963" s="5">
        <v>-29619</v>
      </c>
      <c r="F2963" s="3" t="s">
        <v>64</v>
      </c>
      <c r="G2963" s="3" t="s">
        <v>20</v>
      </c>
      <c r="H2963" s="2" t="s">
        <v>36</v>
      </c>
      <c r="I2963" s="2" t="s">
        <v>7018</v>
      </c>
      <c r="J2963" s="3" t="str">
        <f>HYPERLINK("https://www.boe.es/gazeta/dias/1818/11/26/pdfs/GMD-1818-143.pdf#page=7","Abrir facsímil")</f>
        <v>Abrir facsímil</v>
      </c>
      <c r="K2963" s="3" t="s">
        <v>38</v>
      </c>
    </row>
    <row r="2964" spans="1:11" ht="42" customHeight="1">
      <c r="A2964" s="2" t="s">
        <v>7019</v>
      </c>
      <c r="B2964" s="2" t="s">
        <v>7019</v>
      </c>
      <c r="C2964" s="2" t="s">
        <v>26</v>
      </c>
      <c r="D2964" s="2" t="s">
        <v>27</v>
      </c>
      <c r="E2964" s="5">
        <v>-29925</v>
      </c>
      <c r="F2964" s="3" t="s">
        <v>447</v>
      </c>
      <c r="G2964" s="3" t="s">
        <v>120</v>
      </c>
      <c r="H2964" s="2" t="s">
        <v>36</v>
      </c>
      <c r="I2964" s="2" t="s">
        <v>7020</v>
      </c>
      <c r="J2964" s="3" t="str">
        <f>HYPERLINK("https://www.boe.es/gazeta/dias/1818/01/24/pdfs/GMD-1818-11.pdf#page=2","Abrir facsímil")</f>
        <v>Abrir facsímil</v>
      </c>
      <c r="K2964" s="3" t="s">
        <v>38</v>
      </c>
    </row>
    <row r="2965" spans="1:11" ht="42" customHeight="1">
      <c r="A2965" s="2" t="s">
        <v>7021</v>
      </c>
      <c r="B2965" s="2" t="s">
        <v>7022</v>
      </c>
      <c r="C2965" s="2" t="s">
        <v>26</v>
      </c>
      <c r="D2965" s="2" t="s">
        <v>27</v>
      </c>
      <c r="E2965" s="5">
        <v>-29880</v>
      </c>
      <c r="F2965" s="3" t="s">
        <v>359</v>
      </c>
      <c r="G2965" s="3" t="s">
        <v>106</v>
      </c>
      <c r="H2965" s="2" t="s">
        <v>36</v>
      </c>
      <c r="I2965" s="2" t="s">
        <v>7023</v>
      </c>
      <c r="J2965" s="3" t="str">
        <f>HYPERLINK("https://www.boe.es/gazeta/dias/1818/03/10/pdfs/GMD-1818-30.pdf#page=5","Abrir facsímil")</f>
        <v>Abrir facsímil</v>
      </c>
      <c r="K2965" s="3" t="s">
        <v>38</v>
      </c>
    </row>
    <row r="2966" spans="1:11" ht="42" customHeight="1">
      <c r="A2966" s="2" t="s">
        <v>7024</v>
      </c>
      <c r="B2966" s="2" t="s">
        <v>7024</v>
      </c>
      <c r="C2966" s="2" t="s">
        <v>68</v>
      </c>
      <c r="D2966" s="2" t="s">
        <v>69</v>
      </c>
      <c r="E2966" s="5">
        <v>-29822</v>
      </c>
      <c r="F2966" s="3" t="s">
        <v>373</v>
      </c>
      <c r="G2966" s="3" t="s">
        <v>85</v>
      </c>
      <c r="H2966" s="2" t="s">
        <v>36</v>
      </c>
      <c r="I2966" s="2" t="s">
        <v>7025</v>
      </c>
      <c r="J2966" s="3" t="str">
        <f>HYPERLINK("https://www.boe.es/gazeta/dias/1818/05/07/pdfs/GMD-1818-55.pdf#page=3","Abrir facsímil")</f>
        <v>Abrir facsímil</v>
      </c>
      <c r="K2966" s="3" t="s">
        <v>38</v>
      </c>
    </row>
    <row r="2967" spans="1:11" ht="42" customHeight="1">
      <c r="A2967" s="2" t="s">
        <v>7026</v>
      </c>
      <c r="B2967" s="2" t="s">
        <v>7026</v>
      </c>
      <c r="C2967" s="2" t="s">
        <v>17</v>
      </c>
      <c r="D2967" s="2" t="s">
        <v>18</v>
      </c>
      <c r="E2967" s="5">
        <v>-29890</v>
      </c>
      <c r="F2967" s="3" t="s">
        <v>393</v>
      </c>
      <c r="G2967" s="3" t="s">
        <v>20</v>
      </c>
      <c r="H2967" s="2" t="s">
        <v>36</v>
      </c>
      <c r="I2967" s="2" t="s">
        <v>7027</v>
      </c>
      <c r="J2967" s="3" t="str">
        <f>HYPERLINK("https://www.boe.es/gazeta/dias/1818/02/28/pdfs/GMD-1818-26.pdf#page=7","Abrir facsímil")</f>
        <v>Abrir facsímil</v>
      </c>
      <c r="K2967" s="3" t="s">
        <v>38</v>
      </c>
    </row>
    <row r="2968" spans="1:11" ht="42" customHeight="1">
      <c r="A2968" s="2" t="s">
        <v>7028</v>
      </c>
      <c r="B2968" s="2" t="s">
        <v>7028</v>
      </c>
      <c r="C2968" s="2" t="s">
        <v>26</v>
      </c>
      <c r="D2968" s="2" t="s">
        <v>27</v>
      </c>
      <c r="E2968" s="5">
        <v>-29885</v>
      </c>
      <c r="F2968" s="3" t="s">
        <v>2308</v>
      </c>
      <c r="G2968" s="3" t="s">
        <v>120</v>
      </c>
      <c r="H2968" s="2" t="s">
        <v>36</v>
      </c>
      <c r="I2968" s="2" t="s">
        <v>7029</v>
      </c>
      <c r="J2968" s="3" t="str">
        <f>HYPERLINK("https://www.boe.es/gazeta/dias/1818/03/05/pdfs/GMD-1818-28.pdf#page=2","Abrir facsímil")</f>
        <v>Abrir facsímil</v>
      </c>
      <c r="K2968" s="3" t="s">
        <v>38</v>
      </c>
    </row>
    <row r="2969" spans="1:11" ht="42" customHeight="1">
      <c r="A2969" s="2" t="s">
        <v>7030</v>
      </c>
      <c r="B2969" s="2" t="s">
        <v>7030</v>
      </c>
      <c r="C2969" s="2" t="s">
        <v>215</v>
      </c>
      <c r="D2969" s="2" t="s">
        <v>18</v>
      </c>
      <c r="E2969" s="5">
        <v>-29845</v>
      </c>
      <c r="F2969" s="3" t="s">
        <v>105</v>
      </c>
      <c r="G2969" s="3" t="s">
        <v>85</v>
      </c>
      <c r="H2969" s="2" t="s">
        <v>36</v>
      </c>
      <c r="I2969" s="2" t="s">
        <v>7031</v>
      </c>
      <c r="J2969" s="3" t="str">
        <f>HYPERLINK("https://www.boe.es/gazeta/dias/1818/04/14/pdfs/GMD-1818-45.pdf#page=3","Abrir facsímil")</f>
        <v>Abrir facsímil</v>
      </c>
      <c r="K2969" s="3" t="s">
        <v>38</v>
      </c>
    </row>
    <row r="2970" spans="1:11" ht="42" customHeight="1">
      <c r="A2970" s="2" t="s">
        <v>7030</v>
      </c>
      <c r="B2970" s="2" t="s">
        <v>7030</v>
      </c>
      <c r="C2970" s="2" t="s">
        <v>26</v>
      </c>
      <c r="D2970" s="2" t="s">
        <v>27</v>
      </c>
      <c r="E2970" s="5">
        <v>-29656</v>
      </c>
      <c r="F2970" s="3" t="s">
        <v>601</v>
      </c>
      <c r="G2970" s="3" t="s">
        <v>85</v>
      </c>
      <c r="H2970" s="2" t="s">
        <v>36</v>
      </c>
      <c r="I2970" s="2" t="s">
        <v>7032</v>
      </c>
      <c r="J2970" s="3" t="str">
        <f>HYPERLINK("https://www.boe.es/gazeta/dias/1818/10/20/pdfs/GMD-1818-127.pdf#page=3","Abrir facsímil")</f>
        <v>Abrir facsímil</v>
      </c>
      <c r="K2970" s="3" t="s">
        <v>38</v>
      </c>
    </row>
    <row r="2971" spans="1:11" ht="42" customHeight="1">
      <c r="A2971" s="2" t="s">
        <v>7033</v>
      </c>
      <c r="B2971" s="2" t="s">
        <v>7034</v>
      </c>
      <c r="C2971" s="2" t="s">
        <v>26</v>
      </c>
      <c r="D2971" s="2" t="s">
        <v>27</v>
      </c>
      <c r="E2971" s="5">
        <v>-29820</v>
      </c>
      <c r="F2971" s="3" t="s">
        <v>2971</v>
      </c>
      <c r="G2971" s="3" t="s">
        <v>2972</v>
      </c>
      <c r="H2971" s="2" t="s">
        <v>36</v>
      </c>
      <c r="I2971" s="2" t="s">
        <v>7035</v>
      </c>
      <c r="J2971" s="3" t="str">
        <f>HYPERLINK("https://www.boe.es/gazeta/dias/1818/05/09/pdfs/GMD-1818-56.pdf#page=8","Abrir facsímil")</f>
        <v>Abrir facsímil</v>
      </c>
      <c r="K2971" s="3" t="s">
        <v>38</v>
      </c>
    </row>
    <row r="2972" spans="1:11" ht="42" customHeight="1">
      <c r="A2972" s="2" t="s">
        <v>7036</v>
      </c>
      <c r="B2972" s="2" t="s">
        <v>7036</v>
      </c>
      <c r="C2972" s="2" t="s">
        <v>26</v>
      </c>
      <c r="D2972" s="2" t="s">
        <v>27</v>
      </c>
      <c r="E2972" s="5">
        <v>-29761</v>
      </c>
      <c r="F2972" s="3" t="s">
        <v>168</v>
      </c>
      <c r="G2972" s="3" t="s">
        <v>106</v>
      </c>
      <c r="H2972" s="2" t="s">
        <v>36</v>
      </c>
      <c r="I2972" s="2" t="s">
        <v>7037</v>
      </c>
      <c r="J2972" s="3" t="str">
        <f>HYPERLINK("https://www.boe.es/gazeta/dias/1818/07/07/pdfs/GMD-1818-81.pdf#page=5","Abrir facsímil")</f>
        <v>Abrir facsímil</v>
      </c>
      <c r="K2972" s="3" t="s">
        <v>38</v>
      </c>
    </row>
    <row r="2973" spans="1:11" ht="42" customHeight="1">
      <c r="A2973" s="2" t="s">
        <v>7038</v>
      </c>
      <c r="B2973" s="2" t="s">
        <v>7038</v>
      </c>
      <c r="C2973" s="2" t="s">
        <v>215</v>
      </c>
      <c r="D2973" s="2" t="s">
        <v>18</v>
      </c>
      <c r="E2973" s="5">
        <v>-29927</v>
      </c>
      <c r="F2973" s="3" t="s">
        <v>1381</v>
      </c>
      <c r="G2973" s="3" t="s">
        <v>120</v>
      </c>
      <c r="H2973" s="2" t="s">
        <v>36</v>
      </c>
      <c r="I2973" s="2" t="s">
        <v>7039</v>
      </c>
      <c r="J2973" s="3" t="str">
        <f>HYPERLINK("https://www.boe.es/gazeta/dias/1818/01/22/pdfs/GMD-1818-10.pdf#page=2","Abrir facsímil")</f>
        <v>Abrir facsímil</v>
      </c>
      <c r="K2973" s="3" t="s">
        <v>38</v>
      </c>
    </row>
    <row r="2974" spans="1:11" ht="42" customHeight="1">
      <c r="A2974" s="2" t="s">
        <v>7038</v>
      </c>
      <c r="B2974" s="2" t="s">
        <v>7038</v>
      </c>
      <c r="C2974" s="2" t="s">
        <v>26</v>
      </c>
      <c r="D2974" s="2" t="s">
        <v>27</v>
      </c>
      <c r="E2974" s="5">
        <v>-29682</v>
      </c>
      <c r="F2974" s="3" t="s">
        <v>170</v>
      </c>
      <c r="G2974" s="3" t="s">
        <v>85</v>
      </c>
      <c r="H2974" s="2" t="s">
        <v>36</v>
      </c>
      <c r="I2974" s="2" t="s">
        <v>7040</v>
      </c>
      <c r="J2974" s="3" t="str">
        <f>HYPERLINK("https://www.boe.es/gazeta/dias/1818/09/24/pdfs/GMD-1818-115.pdf#page=3","Abrir facsímil")</f>
        <v>Abrir facsímil</v>
      </c>
      <c r="K2974" s="3" t="s">
        <v>38</v>
      </c>
    </row>
    <row r="2975" spans="1:11" ht="42" customHeight="1">
      <c r="A2975" s="2" t="s">
        <v>7038</v>
      </c>
      <c r="B2975" s="2" t="s">
        <v>7038</v>
      </c>
      <c r="C2975" s="2" t="s">
        <v>26</v>
      </c>
      <c r="D2975" s="2" t="s">
        <v>27</v>
      </c>
      <c r="E2975" s="5">
        <v>-29600</v>
      </c>
      <c r="F2975" s="3" t="s">
        <v>697</v>
      </c>
      <c r="G2975" s="3" t="s">
        <v>1752</v>
      </c>
      <c r="H2975" s="2" t="s">
        <v>36</v>
      </c>
      <c r="I2975" s="2" t="s">
        <v>7041</v>
      </c>
      <c r="J2975" s="3" t="str">
        <f>HYPERLINK("https://www.boe.es/gazeta/dias/1818/12/15/pdfs/GMD-1818-151.pdf#page=2","Abrir facsímil")</f>
        <v>Abrir facsímil</v>
      </c>
      <c r="K2975" s="3" t="s">
        <v>38</v>
      </c>
    </row>
    <row r="2976" spans="1:11" ht="42" customHeight="1">
      <c r="A2976" s="2" t="s">
        <v>7038</v>
      </c>
      <c r="B2976" s="2" t="s">
        <v>7038</v>
      </c>
      <c r="C2976" s="2" t="s">
        <v>68</v>
      </c>
      <c r="D2976" s="2" t="s">
        <v>69</v>
      </c>
      <c r="E2976" s="5">
        <v>-29589</v>
      </c>
      <c r="F2976" s="3" t="s">
        <v>210</v>
      </c>
      <c r="G2976" s="3" t="s">
        <v>49</v>
      </c>
      <c r="H2976" s="2" t="s">
        <v>36</v>
      </c>
      <c r="I2976" s="2" t="s">
        <v>7042</v>
      </c>
      <c r="J2976" s="3" t="str">
        <f>HYPERLINK("https://www.boe.es/gazeta/dias/1818/12/26/pdfs/GMD-1818-156.pdf#page=1","Abrir facsímil")</f>
        <v>Abrir facsímil</v>
      </c>
      <c r="K2976" s="3" t="s">
        <v>38</v>
      </c>
    </row>
    <row r="2977" spans="1:11" ht="42" customHeight="1">
      <c r="A2977" s="2" t="s">
        <v>7043</v>
      </c>
      <c r="B2977" s="2" t="s">
        <v>7044</v>
      </c>
      <c r="C2977" s="2" t="s">
        <v>26</v>
      </c>
      <c r="D2977" s="2" t="s">
        <v>27</v>
      </c>
      <c r="E2977" s="5">
        <v>-29656</v>
      </c>
      <c r="F2977" s="3" t="s">
        <v>601</v>
      </c>
      <c r="G2977" s="3" t="s">
        <v>85</v>
      </c>
      <c r="H2977" s="2" t="s">
        <v>36</v>
      </c>
      <c r="I2977" s="2" t="s">
        <v>7045</v>
      </c>
      <c r="J2977" s="3" t="str">
        <f>HYPERLINK("https://www.boe.es/gazeta/dias/1818/10/20/pdfs/GMD-1818-127.pdf#page=3","Abrir facsímil")</f>
        <v>Abrir facsímil</v>
      </c>
      <c r="K2977" s="3" t="s">
        <v>38</v>
      </c>
    </row>
    <row r="2978" spans="1:11" ht="42" customHeight="1">
      <c r="A2978" s="2" t="s">
        <v>7046</v>
      </c>
      <c r="B2978" s="2" t="s">
        <v>7047</v>
      </c>
      <c r="C2978" s="2" t="s">
        <v>63</v>
      </c>
      <c r="D2978" s="2" t="s">
        <v>18</v>
      </c>
      <c r="E2978" s="5">
        <v>-29890</v>
      </c>
      <c r="F2978" s="3" t="s">
        <v>393</v>
      </c>
      <c r="G2978" s="3" t="s">
        <v>394</v>
      </c>
      <c r="H2978" s="2" t="s">
        <v>36</v>
      </c>
      <c r="I2978" s="2" t="s">
        <v>7048</v>
      </c>
      <c r="J2978" s="3" t="str">
        <f>HYPERLINK("https://www.boe.es/gazeta/dias/1818/02/28/pdfs/GMD-1818-26.pdf#page=8","Abrir facsímil")</f>
        <v>Abrir facsímil</v>
      </c>
      <c r="K2978" s="3" t="s">
        <v>38</v>
      </c>
    </row>
    <row r="2979" spans="1:11" ht="42" customHeight="1">
      <c r="A2979" s="2" t="s">
        <v>7049</v>
      </c>
      <c r="B2979" s="2" t="s">
        <v>7049</v>
      </c>
      <c r="C2979" s="2" t="s">
        <v>26</v>
      </c>
      <c r="D2979" s="2" t="s">
        <v>27</v>
      </c>
      <c r="E2979" s="5">
        <v>-29621</v>
      </c>
      <c r="F2979" s="3" t="s">
        <v>1561</v>
      </c>
      <c r="G2979" s="3" t="s">
        <v>29</v>
      </c>
      <c r="H2979" s="2" t="s">
        <v>36</v>
      </c>
      <c r="I2979" s="2" t="s">
        <v>7050</v>
      </c>
      <c r="J2979" s="3" t="str">
        <f>HYPERLINK("https://www.boe.es/gazeta/dias/1818/11/24/pdfs/GMD-1818-142.pdf#page=4","Abrir facsímil")</f>
        <v>Abrir facsímil</v>
      </c>
      <c r="K2979" s="3" t="s">
        <v>38</v>
      </c>
    </row>
    <row r="2980" spans="1:11" ht="42" customHeight="1">
      <c r="A2980" s="2" t="s">
        <v>7051</v>
      </c>
      <c r="B2980" s="2" t="s">
        <v>7052</v>
      </c>
      <c r="C2980" s="2" t="s">
        <v>26</v>
      </c>
      <c r="D2980" s="2" t="s">
        <v>27</v>
      </c>
      <c r="E2980" s="5">
        <v>-29936</v>
      </c>
      <c r="F2980" s="3" t="s">
        <v>398</v>
      </c>
      <c r="G2980" s="3" t="s">
        <v>2488</v>
      </c>
      <c r="H2980" s="2" t="s">
        <v>36</v>
      </c>
      <c r="I2980" s="2" t="s">
        <v>7053</v>
      </c>
      <c r="J2980" s="3" t="str">
        <f>HYPERLINK("https://www.boe.es/gazeta/dias/1818/01/13/pdfs/GMD-1818-6.pdf#page=5","Abrir facsímil")</f>
        <v>Abrir facsímil</v>
      </c>
      <c r="K2980" s="3" t="s">
        <v>38</v>
      </c>
    </row>
    <row r="2981" spans="1:11" ht="42" customHeight="1">
      <c r="A2981" s="2" t="s">
        <v>7054</v>
      </c>
      <c r="B2981" s="2" t="s">
        <v>7055</v>
      </c>
      <c r="C2981" s="2" t="s">
        <v>17</v>
      </c>
      <c r="D2981" s="2" t="s">
        <v>18</v>
      </c>
      <c r="E2981" s="5">
        <v>-29698</v>
      </c>
      <c r="F2981" s="3" t="s">
        <v>148</v>
      </c>
      <c r="G2981" s="3" t="s">
        <v>59</v>
      </c>
      <c r="H2981" s="2" t="s">
        <v>36</v>
      </c>
      <c r="I2981" s="2" t="s">
        <v>7056</v>
      </c>
      <c r="J2981" s="3" t="str">
        <f>HYPERLINK("https://www.boe.es/gazeta/dias/1818/09/08/pdfs/GMD-1818-108.pdf#page=6","Abrir facsímil")</f>
        <v>Abrir facsímil</v>
      </c>
      <c r="K2981" s="3" t="s">
        <v>38</v>
      </c>
    </row>
    <row r="2982" spans="1:11" ht="42" customHeight="1">
      <c r="A2982" s="2" t="s">
        <v>7057</v>
      </c>
      <c r="B2982" s="2" t="s">
        <v>7058</v>
      </c>
      <c r="C2982" s="2" t="s">
        <v>26</v>
      </c>
      <c r="D2982" s="2" t="s">
        <v>27</v>
      </c>
      <c r="E2982" s="5">
        <v>-29911</v>
      </c>
      <c r="F2982" s="3" t="s">
        <v>509</v>
      </c>
      <c r="G2982" s="3" t="s">
        <v>59</v>
      </c>
      <c r="H2982" s="2" t="s">
        <v>36</v>
      </c>
      <c r="I2982" s="2" t="s">
        <v>7059</v>
      </c>
      <c r="J2982" s="3" t="str">
        <f>HYPERLINK("https://www.boe.es/gazeta/dias/1818/02/07/pdfs/GMD-1818-17.pdf#page=6","Abrir facsímil")</f>
        <v>Abrir facsímil</v>
      </c>
      <c r="K2982" s="3" t="s">
        <v>38</v>
      </c>
    </row>
    <row r="2983" spans="1:11" ht="42" customHeight="1">
      <c r="A2983" s="2" t="s">
        <v>7060</v>
      </c>
      <c r="B2983" s="2" t="s">
        <v>7060</v>
      </c>
      <c r="C2983" s="2" t="s">
        <v>68</v>
      </c>
      <c r="D2983" s="2" t="s">
        <v>69</v>
      </c>
      <c r="E2983" s="5">
        <v>-29908</v>
      </c>
      <c r="F2983" s="3" t="s">
        <v>695</v>
      </c>
      <c r="G2983" s="3" t="s">
        <v>85</v>
      </c>
      <c r="H2983" s="2" t="s">
        <v>36</v>
      </c>
      <c r="I2983" s="2" t="s">
        <v>7061</v>
      </c>
      <c r="J2983" s="3" t="str">
        <f>HYPERLINK("https://www.boe.es/gazeta/dias/1818/02/10/pdfs/GMD-1818-18.pdf#page=3","Abrir facsímil")</f>
        <v>Abrir facsímil</v>
      </c>
      <c r="K2983" s="3" t="s">
        <v>38</v>
      </c>
    </row>
    <row r="2984" spans="1:11" ht="42" customHeight="1">
      <c r="A2984" s="2" t="s">
        <v>7062</v>
      </c>
      <c r="B2984" s="2" t="s">
        <v>7062</v>
      </c>
      <c r="C2984" s="2" t="s">
        <v>17</v>
      </c>
      <c r="D2984" s="2" t="s">
        <v>18</v>
      </c>
      <c r="E2984" s="5">
        <v>-29897</v>
      </c>
      <c r="F2984" s="3" t="s">
        <v>318</v>
      </c>
      <c r="G2984" s="3" t="s">
        <v>120</v>
      </c>
      <c r="H2984" s="2" t="s">
        <v>36</v>
      </c>
      <c r="I2984" s="2" t="s">
        <v>7063</v>
      </c>
      <c r="J2984" s="3" t="str">
        <f>HYPERLINK("https://www.boe.es/gazeta/dias/1818/02/21/pdfs/GMD-1818-23.pdf#page=2","Abrir facsímil")</f>
        <v>Abrir facsímil</v>
      </c>
      <c r="K2984" s="3" t="s">
        <v>38</v>
      </c>
    </row>
    <row r="2985" spans="1:11" ht="42" customHeight="1">
      <c r="A2985" s="2" t="s">
        <v>7064</v>
      </c>
      <c r="B2985" s="2" t="s">
        <v>7065</v>
      </c>
      <c r="C2985" s="2" t="s">
        <v>17</v>
      </c>
      <c r="D2985" s="2" t="s">
        <v>18</v>
      </c>
      <c r="E2985" s="5">
        <v>-29694</v>
      </c>
      <c r="F2985" s="3" t="s">
        <v>528</v>
      </c>
      <c r="G2985" s="3" t="s">
        <v>59</v>
      </c>
      <c r="H2985" s="2" t="s">
        <v>36</v>
      </c>
      <c r="I2985" s="2" t="s">
        <v>7066</v>
      </c>
      <c r="J2985" s="3" t="str">
        <f>HYPERLINK("https://www.boe.es/gazeta/dias/1818/09/12/pdfs/GMD-1818-110.pdf#page=6","Abrir facsímil")</f>
        <v>Abrir facsímil</v>
      </c>
      <c r="K2985" s="3" t="s">
        <v>38</v>
      </c>
    </row>
    <row r="2986" spans="1:11" ht="42" customHeight="1">
      <c r="A2986" s="2" t="s">
        <v>7067</v>
      </c>
      <c r="B2986" s="2" t="s">
        <v>7068</v>
      </c>
      <c r="C2986" s="2" t="s">
        <v>57</v>
      </c>
      <c r="D2986" s="2" t="s">
        <v>18</v>
      </c>
      <c r="E2986" s="5">
        <v>-29918</v>
      </c>
      <c r="F2986" s="3" t="s">
        <v>89</v>
      </c>
      <c r="G2986" s="3" t="s">
        <v>116</v>
      </c>
      <c r="H2986" s="2" t="s">
        <v>36</v>
      </c>
      <c r="I2986" s="2" t="s">
        <v>7069</v>
      </c>
      <c r="J2986" s="3" t="str">
        <f>HYPERLINK("https://www.boe.es/gazeta/dias/1818/01/31/pdfs/GMD-1818-14.pdf#page=12","Abrir facsímil")</f>
        <v>Abrir facsímil</v>
      </c>
      <c r="K2986" s="3" t="s">
        <v>38</v>
      </c>
    </row>
    <row r="2987" spans="1:11" ht="42" customHeight="1">
      <c r="A2987" s="2" t="s">
        <v>7067</v>
      </c>
      <c r="B2987" s="2" t="s">
        <v>7068</v>
      </c>
      <c r="C2987" s="2" t="s">
        <v>57</v>
      </c>
      <c r="D2987" s="2" t="s">
        <v>18</v>
      </c>
      <c r="E2987" s="5">
        <v>-29675</v>
      </c>
      <c r="F2987" s="3" t="s">
        <v>2314</v>
      </c>
      <c r="G2987" s="3" t="s">
        <v>45</v>
      </c>
      <c r="H2987" s="2" t="s">
        <v>36</v>
      </c>
      <c r="I2987" s="2" t="s">
        <v>7070</v>
      </c>
      <c r="J2987" s="3" t="str">
        <f>HYPERLINK("https://www.boe.es/gazeta/dias/1818/10/01/pdfs/GMD-1818-118.pdf#page=8","Abrir facsímil")</f>
        <v>Abrir facsímil</v>
      </c>
      <c r="K2987" s="3" t="s">
        <v>38</v>
      </c>
    </row>
    <row r="2988" spans="1:11" ht="42" customHeight="1">
      <c r="A2988" s="2" t="s">
        <v>7071</v>
      </c>
      <c r="B2988" s="2" t="s">
        <v>7071</v>
      </c>
      <c r="C2988" s="2" t="s">
        <v>26</v>
      </c>
      <c r="D2988" s="2" t="s">
        <v>27</v>
      </c>
      <c r="E2988" s="5">
        <v>-29810</v>
      </c>
      <c r="F2988" s="3" t="s">
        <v>222</v>
      </c>
      <c r="G2988" s="3" t="s">
        <v>29</v>
      </c>
      <c r="H2988" s="2" t="s">
        <v>36</v>
      </c>
      <c r="I2988" s="2" t="s">
        <v>7072</v>
      </c>
      <c r="J2988" s="3" t="str">
        <f>HYPERLINK("https://www.boe.es/gazeta/dias/1818/05/19/pdfs/GMD-1818-60.pdf#page=4","Abrir facsímil")</f>
        <v>Abrir facsímil</v>
      </c>
      <c r="K2988" s="3" t="s">
        <v>38</v>
      </c>
    </row>
    <row r="2989" spans="1:11" ht="42" customHeight="1">
      <c r="A2989" s="2" t="s">
        <v>7073</v>
      </c>
      <c r="B2989" s="2" t="s">
        <v>7074</v>
      </c>
      <c r="C2989" s="2" t="s">
        <v>57</v>
      </c>
      <c r="D2989" s="2" t="s">
        <v>18</v>
      </c>
      <c r="E2989" s="5">
        <v>-29736</v>
      </c>
      <c r="F2989" s="3" t="s">
        <v>581</v>
      </c>
      <c r="G2989" s="3" t="s">
        <v>59</v>
      </c>
      <c r="H2989" s="2" t="s">
        <v>36</v>
      </c>
      <c r="I2989" s="2" t="s">
        <v>7075</v>
      </c>
      <c r="J2989" s="3" t="str">
        <f>HYPERLINK("https://www.boe.es/gazeta/dias/1818/08/01/pdfs/GMD-1818-92.pdf#page=6","Abrir facsímil")</f>
        <v>Abrir facsímil</v>
      </c>
      <c r="K2989" s="3" t="s">
        <v>38</v>
      </c>
    </row>
    <row r="2990" spans="1:11" ht="42" customHeight="1">
      <c r="A2990" s="2" t="s">
        <v>7076</v>
      </c>
      <c r="B2990" s="2" t="s">
        <v>7077</v>
      </c>
      <c r="C2990" s="2" t="s">
        <v>17</v>
      </c>
      <c r="D2990" s="2" t="s">
        <v>18</v>
      </c>
      <c r="E2990" s="5">
        <v>-29822</v>
      </c>
      <c r="F2990" s="3" t="s">
        <v>373</v>
      </c>
      <c r="G2990" s="3" t="s">
        <v>20</v>
      </c>
      <c r="H2990" s="2" t="s">
        <v>36</v>
      </c>
      <c r="I2990" s="2" t="s">
        <v>7078</v>
      </c>
      <c r="J2990" s="3" t="str">
        <f>HYPERLINK("https://www.boe.es/gazeta/dias/1818/05/07/pdfs/GMD-1818-55.pdf#page=7","Abrir facsímil")</f>
        <v>Abrir facsímil</v>
      </c>
      <c r="K2990" s="3" t="s">
        <v>38</v>
      </c>
    </row>
    <row r="2991" spans="1:11" ht="42" customHeight="1">
      <c r="A2991" s="2" t="s">
        <v>7079</v>
      </c>
      <c r="B2991" s="2" t="s">
        <v>7080</v>
      </c>
      <c r="C2991" s="2" t="s">
        <v>26</v>
      </c>
      <c r="D2991" s="2" t="s">
        <v>27</v>
      </c>
      <c r="E2991" s="5">
        <v>-29801</v>
      </c>
      <c r="F2991" s="3" t="s">
        <v>288</v>
      </c>
      <c r="G2991" s="3" t="s">
        <v>29</v>
      </c>
      <c r="H2991" s="2" t="s">
        <v>36</v>
      </c>
      <c r="I2991" s="2" t="s">
        <v>7081</v>
      </c>
      <c r="J2991" s="3" t="str">
        <f>HYPERLINK("https://www.boe.es/gazeta/dias/1818/05/28/pdfs/GMD-1818-64.pdf#page=4","Abrir facsímil")</f>
        <v>Abrir facsímil</v>
      </c>
      <c r="K2991" s="3" t="s">
        <v>38</v>
      </c>
    </row>
    <row r="2992" spans="1:11" ht="42" customHeight="1">
      <c r="A2992" s="2" t="s">
        <v>7082</v>
      </c>
      <c r="B2992" s="2" t="s">
        <v>7083</v>
      </c>
      <c r="C2992" s="2" t="s">
        <v>17</v>
      </c>
      <c r="D2992" s="2" t="s">
        <v>18</v>
      </c>
      <c r="E2992" s="5">
        <v>-29768</v>
      </c>
      <c r="F2992" s="3" t="s">
        <v>253</v>
      </c>
      <c r="G2992" s="3" t="s">
        <v>254</v>
      </c>
      <c r="H2992" s="2" t="s">
        <v>36</v>
      </c>
      <c r="I2992" s="2" t="s">
        <v>7084</v>
      </c>
      <c r="J2992" s="3" t="str">
        <f>HYPERLINK("https://www.boe.es/gazeta/dias/1818/06/30/pdfs/GMD-1818-78.pdf#page=6","Abrir facsímil")</f>
        <v>Abrir facsímil</v>
      </c>
      <c r="K2992" s="3" t="s">
        <v>38</v>
      </c>
    </row>
    <row r="2993" spans="1:11" ht="42" customHeight="1">
      <c r="A2993" s="2" t="s">
        <v>7085</v>
      </c>
      <c r="B2993" s="2" t="s">
        <v>7086</v>
      </c>
      <c r="C2993" s="2" t="s">
        <v>68</v>
      </c>
      <c r="D2993" s="2" t="s">
        <v>69</v>
      </c>
      <c r="E2993" s="5">
        <v>-29908</v>
      </c>
      <c r="F2993" s="3" t="s">
        <v>695</v>
      </c>
      <c r="G2993" s="3" t="s">
        <v>59</v>
      </c>
      <c r="H2993" s="2" t="s">
        <v>36</v>
      </c>
      <c r="I2993" s="2" t="s">
        <v>7087</v>
      </c>
      <c r="J2993" s="3" t="str">
        <f>HYPERLINK("https://www.boe.es/gazeta/dias/1818/02/10/pdfs/GMD-1818-18.pdf#page=6","Abrir facsímil")</f>
        <v>Abrir facsímil</v>
      </c>
      <c r="K2993" s="3" t="s">
        <v>38</v>
      </c>
    </row>
    <row r="2994" spans="1:11" ht="42" customHeight="1">
      <c r="A2994" s="2" t="s">
        <v>7088</v>
      </c>
      <c r="B2994" s="2" t="s">
        <v>7089</v>
      </c>
      <c r="C2994" s="2" t="s">
        <v>68</v>
      </c>
      <c r="D2994" s="2" t="s">
        <v>69</v>
      </c>
      <c r="E2994" s="5">
        <v>-29799</v>
      </c>
      <c r="F2994" s="3" t="s">
        <v>135</v>
      </c>
      <c r="G2994" s="3" t="s">
        <v>45</v>
      </c>
      <c r="H2994" s="2" t="s">
        <v>21</v>
      </c>
      <c r="I2994" s="2" t="s">
        <v>7090</v>
      </c>
      <c r="J2994" s="3" t="str">
        <f>HYPERLINK("https://www.boe.es/gazeta/dias/1818/05/30/pdfs/GMD-1818-65.pdf#page=8","Abrir facsímil")</f>
        <v>Abrir facsímil</v>
      </c>
      <c r="K2994" s="3" t="s">
        <v>23</v>
      </c>
    </row>
    <row r="2995" spans="1:11" ht="42" customHeight="1">
      <c r="A2995" s="2" t="s">
        <v>7091</v>
      </c>
      <c r="B2995" s="2" t="s">
        <v>7092</v>
      </c>
      <c r="C2995" s="2" t="s">
        <v>17</v>
      </c>
      <c r="D2995" s="2" t="s">
        <v>18</v>
      </c>
      <c r="E2995" s="5">
        <v>-29927</v>
      </c>
      <c r="F2995" s="3" t="s">
        <v>1381</v>
      </c>
      <c r="G2995" s="3" t="s">
        <v>20</v>
      </c>
      <c r="H2995" s="2" t="s">
        <v>36</v>
      </c>
      <c r="I2995" s="2" t="s">
        <v>7093</v>
      </c>
      <c r="J2995" s="3" t="str">
        <f>HYPERLINK("https://www.boe.es/gazeta/dias/1818/01/22/pdfs/GMD-1818-10.pdf#page=7","Abrir facsímil")</f>
        <v>Abrir facsímil</v>
      </c>
      <c r="K2995" s="3" t="s">
        <v>38</v>
      </c>
    </row>
    <row r="2996" spans="1:11" ht="42" customHeight="1">
      <c r="A2996" s="2" t="s">
        <v>7094</v>
      </c>
      <c r="B2996" s="2" t="s">
        <v>7095</v>
      </c>
      <c r="C2996" s="2" t="s">
        <v>26</v>
      </c>
      <c r="D2996" s="2" t="s">
        <v>27</v>
      </c>
      <c r="E2996" s="5">
        <v>-29897</v>
      </c>
      <c r="F2996" s="3" t="s">
        <v>318</v>
      </c>
      <c r="G2996" s="3" t="s">
        <v>106</v>
      </c>
      <c r="H2996" s="2" t="s">
        <v>36</v>
      </c>
      <c r="I2996" s="2" t="s">
        <v>7096</v>
      </c>
      <c r="J2996" s="3" t="str">
        <f>HYPERLINK("https://www.boe.es/gazeta/dias/1818/02/21/pdfs/GMD-1818-23.pdf#page=5","Abrir facsímil")</f>
        <v>Abrir facsímil</v>
      </c>
      <c r="K2996" s="3" t="s">
        <v>38</v>
      </c>
    </row>
    <row r="2997" spans="1:11" ht="42" customHeight="1">
      <c r="A2997" s="2" t="s">
        <v>7097</v>
      </c>
      <c r="B2997" s="2" t="s">
        <v>7098</v>
      </c>
      <c r="C2997" s="2" t="s">
        <v>68</v>
      </c>
      <c r="D2997" s="2" t="s">
        <v>69</v>
      </c>
      <c r="E2997" s="5">
        <v>-29880</v>
      </c>
      <c r="F2997" s="3" t="s">
        <v>359</v>
      </c>
      <c r="G2997" s="3" t="s">
        <v>20</v>
      </c>
      <c r="H2997" s="2" t="s">
        <v>21</v>
      </c>
      <c r="I2997" s="2" t="s">
        <v>7099</v>
      </c>
      <c r="J2997" s="3" t="str">
        <f>HYPERLINK("https://www.boe.es/gazeta/dias/1818/03/10/pdfs/GMD-1818-30.pdf#page=7","Abrir facsímil")</f>
        <v>Abrir facsímil</v>
      </c>
      <c r="K2997" s="3" t="s">
        <v>23</v>
      </c>
    </row>
    <row r="2998" spans="1:11" ht="42" customHeight="1">
      <c r="A2998" s="2" t="s">
        <v>7100</v>
      </c>
      <c r="B2998" s="2" t="s">
        <v>7100</v>
      </c>
      <c r="C2998" s="2" t="s">
        <v>26</v>
      </c>
      <c r="D2998" s="2" t="s">
        <v>27</v>
      </c>
      <c r="E2998" s="5">
        <v>-29642</v>
      </c>
      <c r="F2998" s="3" t="s">
        <v>248</v>
      </c>
      <c r="G2998" s="3" t="s">
        <v>120</v>
      </c>
      <c r="H2998" s="2" t="s">
        <v>36</v>
      </c>
      <c r="I2998" s="2" t="s">
        <v>7101</v>
      </c>
      <c r="J2998" s="3" t="str">
        <f>HYPERLINK("https://www.boe.es/gazeta/dias/1818/11/03/pdfs/GMD-1818-133.pdf#page=2","Abrir facsímil")</f>
        <v>Abrir facsímil</v>
      </c>
      <c r="K2998" s="3" t="s">
        <v>38</v>
      </c>
    </row>
    <row r="2999" spans="1:11" ht="42" customHeight="1">
      <c r="A2999" s="2" t="s">
        <v>7102</v>
      </c>
      <c r="B2999" s="2" t="s">
        <v>7102</v>
      </c>
      <c r="C2999" s="2" t="s">
        <v>26</v>
      </c>
      <c r="D2999" s="2" t="s">
        <v>27</v>
      </c>
      <c r="E2999" s="5">
        <v>-29712</v>
      </c>
      <c r="F2999" s="3" t="s">
        <v>1309</v>
      </c>
      <c r="G2999" s="3" t="s">
        <v>120</v>
      </c>
      <c r="H2999" s="2" t="s">
        <v>36</v>
      </c>
      <c r="I2999" s="2" t="s">
        <v>7103</v>
      </c>
      <c r="J2999" s="3" t="str">
        <f>HYPERLINK("https://www.boe.es/gazeta/dias/1818/08/25/pdfs/GMD-1818-102.pdf#page=2","Abrir facsímil")</f>
        <v>Abrir facsímil</v>
      </c>
      <c r="K2999" s="3" t="s">
        <v>38</v>
      </c>
    </row>
    <row r="3000" spans="1:11" ht="42" customHeight="1">
      <c r="A3000" s="2" t="s">
        <v>7104</v>
      </c>
      <c r="B3000" s="2" t="s">
        <v>7105</v>
      </c>
      <c r="C3000" s="2" t="s">
        <v>17</v>
      </c>
      <c r="D3000" s="2" t="s">
        <v>18</v>
      </c>
      <c r="E3000" s="5">
        <v>-29736</v>
      </c>
      <c r="F3000" s="3" t="s">
        <v>581</v>
      </c>
      <c r="G3000" s="3" t="s">
        <v>59</v>
      </c>
      <c r="H3000" s="2" t="s">
        <v>36</v>
      </c>
      <c r="I3000" s="2" t="s">
        <v>7106</v>
      </c>
      <c r="J3000" s="3" t="str">
        <f>HYPERLINK("https://www.boe.es/gazeta/dias/1818/08/01/pdfs/GMD-1818-92.pdf#page=6","Abrir facsímil")</f>
        <v>Abrir facsímil</v>
      </c>
      <c r="K3000" s="3" t="s">
        <v>38</v>
      </c>
    </row>
    <row r="3001" spans="1:11" ht="42" customHeight="1">
      <c r="A3001" s="2" t="s">
        <v>7107</v>
      </c>
      <c r="B3001" s="2" t="s">
        <v>7108</v>
      </c>
      <c r="C3001" s="2" t="s">
        <v>26</v>
      </c>
      <c r="D3001" s="2" t="s">
        <v>27</v>
      </c>
      <c r="E3001" s="5">
        <v>-29932</v>
      </c>
      <c r="F3001" s="3" t="s">
        <v>34</v>
      </c>
      <c r="G3001" s="3" t="s">
        <v>106</v>
      </c>
      <c r="H3001" s="2" t="s">
        <v>21</v>
      </c>
      <c r="I3001" s="2" t="s">
        <v>7109</v>
      </c>
      <c r="J3001" s="3" t="str">
        <f>HYPERLINK("https://www.boe.es/gazeta/dias/1818/01/17/pdfs/GMD-1818-8.pdf#page=5","Abrir facsímil")</f>
        <v>Abrir facsímil</v>
      </c>
      <c r="K3001" s="3" t="s">
        <v>23</v>
      </c>
    </row>
    <row r="3002" spans="1:11" ht="42" customHeight="1">
      <c r="A3002" s="2" t="s">
        <v>7110</v>
      </c>
      <c r="B3002" s="2" t="s">
        <v>7111</v>
      </c>
      <c r="C3002" s="2" t="s">
        <v>63</v>
      </c>
      <c r="D3002" s="2" t="s">
        <v>18</v>
      </c>
      <c r="E3002" s="5">
        <v>-29591</v>
      </c>
      <c r="F3002" s="3" t="s">
        <v>1414</v>
      </c>
      <c r="G3002" s="3" t="s">
        <v>1592</v>
      </c>
      <c r="H3002" s="2" t="s">
        <v>36</v>
      </c>
      <c r="I3002" s="2" t="s">
        <v>7112</v>
      </c>
      <c r="J3002" s="3" t="str">
        <f>HYPERLINK("https://www.boe.es/gazeta/dias/1818/12/24/pdfs/GMD-1818-155.pdf#page=6","Abrir facsímil")</f>
        <v>Abrir facsímil</v>
      </c>
      <c r="K3002" s="3" t="s">
        <v>38</v>
      </c>
    </row>
    <row r="3003" spans="1:11" ht="42" customHeight="1">
      <c r="A3003" s="2" t="s">
        <v>7113</v>
      </c>
      <c r="B3003" s="2" t="s">
        <v>7114</v>
      </c>
      <c r="C3003" s="2" t="s">
        <v>68</v>
      </c>
      <c r="D3003" s="2" t="s">
        <v>69</v>
      </c>
      <c r="E3003" s="5">
        <v>-29691</v>
      </c>
      <c r="F3003" s="3" t="s">
        <v>144</v>
      </c>
      <c r="G3003" s="3" t="s">
        <v>59</v>
      </c>
      <c r="H3003" s="2" t="s">
        <v>36</v>
      </c>
      <c r="I3003" s="2" t="s">
        <v>7115</v>
      </c>
      <c r="J3003" s="3" t="str">
        <f>HYPERLINK("https://www.boe.es/gazeta/dias/1818/09/15/pdfs/GMD-1818-111.pdf#page=6","Abrir facsímil")</f>
        <v>Abrir facsímil</v>
      </c>
      <c r="K3003" s="3" t="s">
        <v>38</v>
      </c>
    </row>
    <row r="3004" spans="1:11" ht="42" customHeight="1">
      <c r="A3004" s="2" t="s">
        <v>7116</v>
      </c>
      <c r="B3004" s="2" t="s">
        <v>7117</v>
      </c>
      <c r="C3004" s="2" t="s">
        <v>26</v>
      </c>
      <c r="D3004" s="2" t="s">
        <v>27</v>
      </c>
      <c r="E3004" s="5">
        <v>-29687</v>
      </c>
      <c r="F3004" s="3" t="s">
        <v>686</v>
      </c>
      <c r="G3004" s="3" t="s">
        <v>59</v>
      </c>
      <c r="H3004" s="2" t="s">
        <v>36</v>
      </c>
      <c r="I3004" s="2" t="s">
        <v>7118</v>
      </c>
      <c r="J3004" s="3" t="str">
        <f>HYPERLINK("https://www.boe.es/gazeta/dias/1818/09/19/pdfs/GMD-1818-113.pdf#page=6","Abrir facsímil")</f>
        <v>Abrir facsímil</v>
      </c>
      <c r="K3004" s="3" t="s">
        <v>38</v>
      </c>
    </row>
    <row r="3005" spans="1:11" ht="42" customHeight="1">
      <c r="A3005" s="2" t="s">
        <v>7119</v>
      </c>
      <c r="B3005" s="2" t="s">
        <v>7120</v>
      </c>
      <c r="C3005" s="2" t="s">
        <v>17</v>
      </c>
      <c r="D3005" s="2" t="s">
        <v>18</v>
      </c>
      <c r="E3005" s="5">
        <v>-29687</v>
      </c>
      <c r="F3005" s="3" t="s">
        <v>686</v>
      </c>
      <c r="G3005" s="3" t="s">
        <v>20</v>
      </c>
      <c r="H3005" s="2" t="s">
        <v>36</v>
      </c>
      <c r="I3005" s="2" t="s">
        <v>7121</v>
      </c>
      <c r="J3005" s="3" t="str">
        <f>HYPERLINK("https://www.boe.es/gazeta/dias/1818/09/19/pdfs/GMD-1818-113.pdf#page=7","Abrir facsímil")</f>
        <v>Abrir facsímil</v>
      </c>
      <c r="K3005" s="3" t="s">
        <v>38</v>
      </c>
    </row>
    <row r="3006" spans="1:11" ht="42" customHeight="1">
      <c r="A3006" s="2" t="s">
        <v>7122</v>
      </c>
      <c r="B3006" s="2" t="s">
        <v>7122</v>
      </c>
      <c r="C3006" s="2" t="s">
        <v>26</v>
      </c>
      <c r="D3006" s="2" t="s">
        <v>27</v>
      </c>
      <c r="E3006" s="5">
        <v>-29612</v>
      </c>
      <c r="F3006" s="3" t="s">
        <v>1765</v>
      </c>
      <c r="G3006" s="3" t="s">
        <v>120</v>
      </c>
      <c r="H3006" s="2" t="s">
        <v>36</v>
      </c>
      <c r="I3006" s="2" t="s">
        <v>7123</v>
      </c>
      <c r="J3006" s="3" t="str">
        <f>HYPERLINK("https://www.boe.es/gazeta/dias/1818/12/03/pdfs/GMD-1818-146.pdf#page=2","Abrir facsímil")</f>
        <v>Abrir facsímil</v>
      </c>
      <c r="K3006" s="3" t="s">
        <v>38</v>
      </c>
    </row>
    <row r="3007" spans="1:11" ht="42" customHeight="1">
      <c r="A3007" s="2" t="s">
        <v>7124</v>
      </c>
      <c r="B3007" s="2" t="s">
        <v>7125</v>
      </c>
      <c r="C3007" s="2" t="s">
        <v>215</v>
      </c>
      <c r="D3007" s="2" t="s">
        <v>18</v>
      </c>
      <c r="E3007" s="5">
        <v>-29852</v>
      </c>
      <c r="F3007" s="3" t="s">
        <v>327</v>
      </c>
      <c r="G3007" s="3" t="s">
        <v>29</v>
      </c>
      <c r="H3007" s="2" t="s">
        <v>36</v>
      </c>
      <c r="I3007" s="2" t="s">
        <v>7126</v>
      </c>
      <c r="J3007" s="3" t="str">
        <f>HYPERLINK("https://www.boe.es/gazeta/dias/1818/04/07/pdfs/GMD-1818-42.pdf#page=4","Abrir facsímil")</f>
        <v>Abrir facsímil</v>
      </c>
      <c r="K3007" s="3" t="s">
        <v>38</v>
      </c>
    </row>
    <row r="3008" spans="1:11" ht="42" customHeight="1">
      <c r="A3008" s="2" t="s">
        <v>7127</v>
      </c>
      <c r="B3008" s="2" t="s">
        <v>7128</v>
      </c>
      <c r="C3008" s="2" t="s">
        <v>57</v>
      </c>
      <c r="D3008" s="2" t="s">
        <v>18</v>
      </c>
      <c r="E3008" s="5">
        <v>-29743</v>
      </c>
      <c r="F3008" s="3" t="s">
        <v>734</v>
      </c>
      <c r="G3008" s="3" t="s">
        <v>45</v>
      </c>
      <c r="H3008" s="2" t="s">
        <v>21</v>
      </c>
      <c r="I3008" s="2" t="s">
        <v>7129</v>
      </c>
      <c r="J3008" s="3" t="str">
        <f>HYPERLINK("https://www.boe.es/gazeta/dias/1818/07/25/pdfs/GMD-1818-89.pdf#page=8","Abrir facsímil")</f>
        <v>Abrir facsímil</v>
      </c>
      <c r="K3008" s="3" t="s">
        <v>23</v>
      </c>
    </row>
    <row r="3009" spans="1:11" ht="42" customHeight="1">
      <c r="A3009" s="2" t="s">
        <v>7130</v>
      </c>
      <c r="B3009" s="2" t="s">
        <v>7131</v>
      </c>
      <c r="C3009" s="2" t="s">
        <v>26</v>
      </c>
      <c r="D3009" s="2" t="s">
        <v>27</v>
      </c>
      <c r="E3009" s="5">
        <v>-29715</v>
      </c>
      <c r="F3009" s="3" t="s">
        <v>208</v>
      </c>
      <c r="G3009" s="3" t="s">
        <v>29</v>
      </c>
      <c r="H3009" s="2" t="s">
        <v>21</v>
      </c>
      <c r="I3009" s="2" t="s">
        <v>7132</v>
      </c>
      <c r="J3009" s="3" t="str">
        <f>HYPERLINK("https://www.boe.es/gazeta/dias/1818/08/22/pdfs/GMD-1818-101.pdf#page=4","Abrir facsímil")</f>
        <v>Abrir facsímil</v>
      </c>
      <c r="K3009" s="3" t="s">
        <v>23</v>
      </c>
    </row>
    <row r="3010" spans="1:11" ht="42" customHeight="1">
      <c r="A3010" s="2" t="s">
        <v>7133</v>
      </c>
      <c r="B3010" s="2" t="s">
        <v>7134</v>
      </c>
      <c r="C3010" s="2" t="s">
        <v>57</v>
      </c>
      <c r="D3010" s="2" t="s">
        <v>18</v>
      </c>
      <c r="E3010" s="5">
        <v>-29799</v>
      </c>
      <c r="F3010" s="3" t="s">
        <v>135</v>
      </c>
      <c r="G3010" s="3" t="s">
        <v>136</v>
      </c>
      <c r="H3010" s="2" t="s">
        <v>36</v>
      </c>
      <c r="I3010" s="2" t="s">
        <v>7135</v>
      </c>
      <c r="J3010" s="3" t="str">
        <f>HYPERLINK("https://www.boe.es/gazeta/dias/1818/05/30/pdfs/GMD-1818-65.pdf#page=5","Abrir facsímil")</f>
        <v>Abrir facsímil</v>
      </c>
      <c r="K3010" s="3" t="s">
        <v>38</v>
      </c>
    </row>
    <row r="3011" spans="1:11" ht="42" customHeight="1">
      <c r="A3011" s="2" t="s">
        <v>7133</v>
      </c>
      <c r="B3011" s="2" t="s">
        <v>7134</v>
      </c>
      <c r="C3011" s="2" t="s">
        <v>68</v>
      </c>
      <c r="D3011" s="2" t="s">
        <v>69</v>
      </c>
      <c r="E3011" s="5">
        <v>-29596</v>
      </c>
      <c r="F3011" s="3" t="s">
        <v>555</v>
      </c>
      <c r="G3011" s="3" t="s">
        <v>45</v>
      </c>
      <c r="H3011" s="2" t="s">
        <v>36</v>
      </c>
      <c r="I3011" s="2" t="s">
        <v>7136</v>
      </c>
      <c r="J3011" s="3" t="str">
        <f>HYPERLINK("https://www.boe.es/gazeta/dias/1818/12/19/pdfs/GMD-1818-153.pdf#page=8","Abrir facsímil")</f>
        <v>Abrir facsímil</v>
      </c>
      <c r="K3011" s="3" t="s">
        <v>38</v>
      </c>
    </row>
    <row r="3012" spans="1:11" ht="42" customHeight="1">
      <c r="A3012" s="2" t="s">
        <v>7137</v>
      </c>
      <c r="B3012" s="2" t="s">
        <v>7138</v>
      </c>
      <c r="C3012" s="2" t="s">
        <v>26</v>
      </c>
      <c r="D3012" s="2" t="s">
        <v>27</v>
      </c>
      <c r="E3012" s="5">
        <v>-29876</v>
      </c>
      <c r="F3012" s="3" t="s">
        <v>338</v>
      </c>
      <c r="G3012" s="3" t="s">
        <v>29</v>
      </c>
      <c r="H3012" s="2" t="s">
        <v>36</v>
      </c>
      <c r="I3012" s="2" t="s">
        <v>7139</v>
      </c>
      <c r="J3012" s="3" t="str">
        <f>HYPERLINK("https://www.boe.es/gazeta/dias/1818/03/14/pdfs/GMD-1818-32.pdf#page=4","Abrir facsímil")</f>
        <v>Abrir facsímil</v>
      </c>
      <c r="K3012" s="3" t="s">
        <v>38</v>
      </c>
    </row>
    <row r="3013" spans="1:11" ht="42" customHeight="1">
      <c r="A3013" s="2" t="s">
        <v>7140</v>
      </c>
      <c r="B3013" s="2" t="s">
        <v>7140</v>
      </c>
      <c r="C3013" s="2" t="s">
        <v>26</v>
      </c>
      <c r="D3013" s="2" t="s">
        <v>27</v>
      </c>
      <c r="E3013" s="5">
        <v>-29614</v>
      </c>
      <c r="F3013" s="3" t="s">
        <v>620</v>
      </c>
      <c r="G3013" s="3" t="s">
        <v>106</v>
      </c>
      <c r="H3013" s="2" t="s">
        <v>36</v>
      </c>
      <c r="I3013" s="2" t="s">
        <v>7141</v>
      </c>
      <c r="J3013" s="3" t="str">
        <f>HYPERLINK("https://www.boe.es/gazeta/dias/1818/12/01/pdfs/GMD-1818-145.pdf#page=5","Abrir facsímil")</f>
        <v>Abrir facsímil</v>
      </c>
      <c r="K3013" s="3" t="s">
        <v>38</v>
      </c>
    </row>
    <row r="3014" spans="1:11" ht="42" customHeight="1">
      <c r="A3014" s="2" t="s">
        <v>7142</v>
      </c>
      <c r="B3014" s="2" t="s">
        <v>7143</v>
      </c>
      <c r="C3014" s="2" t="s">
        <v>17</v>
      </c>
      <c r="D3014" s="2" t="s">
        <v>18</v>
      </c>
      <c r="E3014" s="5">
        <v>-29890</v>
      </c>
      <c r="F3014" s="3" t="s">
        <v>393</v>
      </c>
      <c r="G3014" s="3" t="s">
        <v>106</v>
      </c>
      <c r="H3014" s="2" t="s">
        <v>36</v>
      </c>
      <c r="I3014" s="2" t="s">
        <v>7144</v>
      </c>
      <c r="J3014" s="3" t="str">
        <f>HYPERLINK("https://www.boe.es/gazeta/dias/1818/02/28/pdfs/GMD-1818-26.pdf#page=5","Abrir facsímil")</f>
        <v>Abrir facsímil</v>
      </c>
      <c r="K3014" s="3" t="s">
        <v>38</v>
      </c>
    </row>
    <row r="3015" spans="1:11" ht="42" customHeight="1">
      <c r="A3015" s="2" t="s">
        <v>7145</v>
      </c>
      <c r="B3015" s="2" t="s">
        <v>7146</v>
      </c>
      <c r="C3015" s="2" t="s">
        <v>26</v>
      </c>
      <c r="D3015" s="2" t="s">
        <v>27</v>
      </c>
      <c r="E3015" s="5">
        <v>-29764</v>
      </c>
      <c r="F3015" s="3" t="s">
        <v>464</v>
      </c>
      <c r="G3015" s="3" t="s">
        <v>106</v>
      </c>
      <c r="H3015" s="2" t="s">
        <v>36</v>
      </c>
      <c r="I3015" s="2" t="s">
        <v>7147</v>
      </c>
      <c r="J3015" s="3" t="str">
        <f>HYPERLINK("https://www.boe.es/gazeta/dias/1818/07/04/pdfs/GMD-1818-80.pdf#page=5","Abrir facsímil")</f>
        <v>Abrir facsímil</v>
      </c>
      <c r="K3015" s="3" t="s">
        <v>38</v>
      </c>
    </row>
    <row r="3016" spans="1:11" ht="42" customHeight="1">
      <c r="A3016" s="2" t="s">
        <v>7148</v>
      </c>
      <c r="B3016" s="2" t="s">
        <v>7148</v>
      </c>
      <c r="C3016" s="2" t="s">
        <v>68</v>
      </c>
      <c r="D3016" s="2" t="s">
        <v>69</v>
      </c>
      <c r="E3016" s="5">
        <v>-29717</v>
      </c>
      <c r="F3016" s="3" t="s">
        <v>1644</v>
      </c>
      <c r="G3016" s="3" t="s">
        <v>49</v>
      </c>
      <c r="H3016" s="2" t="s">
        <v>36</v>
      </c>
      <c r="I3016" s="2" t="s">
        <v>7149</v>
      </c>
      <c r="J3016" s="3" t="str">
        <f>HYPERLINK("https://www.boe.es/gazeta/dias/1818/08/20/pdfs/GMD-1818-100.pdf#page=1","Abrir facsímil")</f>
        <v>Abrir facsímil</v>
      </c>
      <c r="K3016" s="3" t="s">
        <v>38</v>
      </c>
    </row>
    <row r="3017" spans="1:11" ht="42" customHeight="1">
      <c r="A3017" s="2" t="s">
        <v>7150</v>
      </c>
      <c r="B3017" s="2" t="s">
        <v>7151</v>
      </c>
      <c r="C3017" s="2" t="s">
        <v>68</v>
      </c>
      <c r="D3017" s="2" t="s">
        <v>69</v>
      </c>
      <c r="E3017" s="5">
        <v>-29694</v>
      </c>
      <c r="F3017" s="3" t="s">
        <v>528</v>
      </c>
      <c r="G3017" s="3" t="s">
        <v>106</v>
      </c>
      <c r="H3017" s="2" t="s">
        <v>36</v>
      </c>
      <c r="I3017" s="2" t="s">
        <v>7152</v>
      </c>
      <c r="J3017" s="3" t="str">
        <f>HYPERLINK("https://www.boe.es/gazeta/dias/1818/09/12/pdfs/GMD-1818-110.pdf#page=5","Abrir facsímil")</f>
        <v>Abrir facsímil</v>
      </c>
      <c r="K3017" s="3" t="s">
        <v>38</v>
      </c>
    </row>
    <row r="3018" spans="1:11" ht="42" customHeight="1">
      <c r="A3018" s="2" t="s">
        <v>7153</v>
      </c>
      <c r="B3018" s="2" t="s">
        <v>7154</v>
      </c>
      <c r="C3018" s="2" t="s">
        <v>63</v>
      </c>
      <c r="D3018" s="2" t="s">
        <v>18</v>
      </c>
      <c r="E3018" s="5">
        <v>-29729</v>
      </c>
      <c r="F3018" s="3" t="s">
        <v>488</v>
      </c>
      <c r="G3018" s="3" t="s">
        <v>489</v>
      </c>
      <c r="H3018" s="2" t="s">
        <v>36</v>
      </c>
      <c r="I3018" s="2" t="s">
        <v>7155</v>
      </c>
      <c r="J3018" s="3" t="str">
        <f>HYPERLINK("https://www.boe.es/gazeta/dias/1818/08/08/pdfs/GMD-1818-95.pdf#page=8","Abrir facsímil")</f>
        <v>Abrir facsímil</v>
      </c>
      <c r="K3018" s="3" t="s">
        <v>38</v>
      </c>
    </row>
    <row r="3019" spans="1:11" ht="42" customHeight="1">
      <c r="A3019" s="2" t="s">
        <v>7156</v>
      </c>
      <c r="B3019" s="2" t="s">
        <v>7157</v>
      </c>
      <c r="C3019" s="2" t="s">
        <v>26</v>
      </c>
      <c r="D3019" s="2" t="s">
        <v>27</v>
      </c>
      <c r="E3019" s="5">
        <v>-29736</v>
      </c>
      <c r="F3019" s="3" t="s">
        <v>581</v>
      </c>
      <c r="G3019" s="3" t="s">
        <v>45</v>
      </c>
      <c r="H3019" s="2" t="s">
        <v>36</v>
      </c>
      <c r="I3019" s="2" t="s">
        <v>7158</v>
      </c>
      <c r="J3019" s="3" t="str">
        <f>HYPERLINK("https://www.boe.es/gazeta/dias/1818/08/01/pdfs/GMD-1818-92.pdf#page=8","Abrir facsímil")</f>
        <v>Abrir facsímil</v>
      </c>
      <c r="K3019" s="3" t="s">
        <v>38</v>
      </c>
    </row>
    <row r="3020" spans="1:11" ht="42" customHeight="1">
      <c r="A3020" s="2" t="s">
        <v>7159</v>
      </c>
      <c r="B3020" s="2" t="s">
        <v>7159</v>
      </c>
      <c r="C3020" s="2" t="s">
        <v>63</v>
      </c>
      <c r="D3020" s="2" t="s">
        <v>18</v>
      </c>
      <c r="E3020" s="5">
        <v>-29890</v>
      </c>
      <c r="F3020" s="3" t="s">
        <v>393</v>
      </c>
      <c r="G3020" s="3" t="s">
        <v>394</v>
      </c>
      <c r="H3020" s="2" t="s">
        <v>36</v>
      </c>
      <c r="I3020" s="2" t="s">
        <v>7160</v>
      </c>
      <c r="J3020" s="3" t="str">
        <f>HYPERLINK("https://www.boe.es/gazeta/dias/1818/02/28/pdfs/GMD-1818-26.pdf#page=8","Abrir facsímil")</f>
        <v>Abrir facsímil</v>
      </c>
      <c r="K3020" s="3" t="s">
        <v>38</v>
      </c>
    </row>
    <row r="3021" spans="1:11" ht="42" customHeight="1">
      <c r="A3021" s="2" t="s">
        <v>7161</v>
      </c>
      <c r="B3021" s="2" t="s">
        <v>7162</v>
      </c>
      <c r="C3021" s="2" t="s">
        <v>57</v>
      </c>
      <c r="D3021" s="2" t="s">
        <v>18</v>
      </c>
      <c r="E3021" s="5">
        <v>-29673</v>
      </c>
      <c r="F3021" s="3" t="s">
        <v>1099</v>
      </c>
      <c r="G3021" s="3" t="s">
        <v>59</v>
      </c>
      <c r="H3021" s="2" t="s">
        <v>36</v>
      </c>
      <c r="I3021" s="2" t="s">
        <v>7163</v>
      </c>
      <c r="J3021" s="3" t="str">
        <f>HYPERLINK("https://www.boe.es/gazeta/dias/1818/10/03/pdfs/GMD-1818-119.pdf#page=6","Abrir facsímil")</f>
        <v>Abrir facsímil</v>
      </c>
      <c r="K3021" s="3" t="s">
        <v>38</v>
      </c>
    </row>
    <row r="3022" spans="1:11" ht="42" customHeight="1">
      <c r="A3022" s="2" t="s">
        <v>7164</v>
      </c>
      <c r="B3022" s="2" t="s">
        <v>7165</v>
      </c>
      <c r="C3022" s="2" t="s">
        <v>63</v>
      </c>
      <c r="D3022" s="2" t="s">
        <v>18</v>
      </c>
      <c r="E3022" s="5">
        <v>-29890</v>
      </c>
      <c r="F3022" s="3" t="s">
        <v>393</v>
      </c>
      <c r="G3022" s="3" t="s">
        <v>394</v>
      </c>
      <c r="H3022" s="2" t="s">
        <v>36</v>
      </c>
      <c r="I3022" s="2" t="s">
        <v>7166</v>
      </c>
      <c r="J3022" s="3" t="str">
        <f>HYPERLINK("https://www.boe.es/gazeta/dias/1818/02/28/pdfs/GMD-1818-26.pdf#page=8","Abrir facsímil")</f>
        <v>Abrir facsímil</v>
      </c>
      <c r="K3022" s="3" t="s">
        <v>38</v>
      </c>
    </row>
    <row r="3023" spans="1:11" ht="42" customHeight="1">
      <c r="A3023" s="2" t="s">
        <v>7167</v>
      </c>
      <c r="B3023" s="2" t="s">
        <v>7167</v>
      </c>
      <c r="C3023" s="2" t="s">
        <v>26</v>
      </c>
      <c r="D3023" s="2" t="s">
        <v>27</v>
      </c>
      <c r="E3023" s="5">
        <v>-29757</v>
      </c>
      <c r="F3023" s="3" t="s">
        <v>115</v>
      </c>
      <c r="G3023" s="3" t="s">
        <v>106</v>
      </c>
      <c r="H3023" s="2" t="s">
        <v>36</v>
      </c>
      <c r="I3023" s="2" t="s">
        <v>7168</v>
      </c>
      <c r="J3023" s="3" t="str">
        <f>HYPERLINK("https://www.boe.es/gazeta/dias/1818/07/11/pdfs/GMD-1818-83.pdf#page=5","Abrir facsímil")</f>
        <v>Abrir facsímil</v>
      </c>
      <c r="K3023" s="3" t="s">
        <v>38</v>
      </c>
    </row>
    <row r="3024" spans="1:11" ht="42" customHeight="1">
      <c r="A3024" s="2" t="s">
        <v>7169</v>
      </c>
      <c r="B3024" s="2" t="s">
        <v>7170</v>
      </c>
      <c r="C3024" s="2" t="s">
        <v>17</v>
      </c>
      <c r="D3024" s="2" t="s">
        <v>18</v>
      </c>
      <c r="E3024" s="5">
        <v>-29771</v>
      </c>
      <c r="F3024" s="3" t="s">
        <v>1260</v>
      </c>
      <c r="G3024" s="3" t="s">
        <v>4136</v>
      </c>
      <c r="H3024" s="2" t="s">
        <v>36</v>
      </c>
      <c r="I3024" s="2" t="s">
        <v>7171</v>
      </c>
      <c r="J3024" s="3" t="str">
        <f>HYPERLINK("https://www.boe.es/gazeta/dias/1818/06/27/pdfs/GMD-1818-77.pdf#page=4","Abrir facsímil")</f>
        <v>Abrir facsímil</v>
      </c>
      <c r="K3024" s="3" t="s">
        <v>38</v>
      </c>
    </row>
    <row r="3025" spans="1:11" ht="42" customHeight="1">
      <c r="A3025" s="2" t="s">
        <v>7169</v>
      </c>
      <c r="B3025" s="2" t="s">
        <v>7170</v>
      </c>
      <c r="C3025" s="2" t="s">
        <v>68</v>
      </c>
      <c r="D3025" s="2" t="s">
        <v>69</v>
      </c>
      <c r="E3025" s="5">
        <v>-29771</v>
      </c>
      <c r="F3025" s="3" t="s">
        <v>1260</v>
      </c>
      <c r="G3025" s="3" t="s">
        <v>106</v>
      </c>
      <c r="H3025" s="2" t="s">
        <v>36</v>
      </c>
      <c r="I3025" s="2" t="s">
        <v>7172</v>
      </c>
      <c r="J3025" s="3" t="str">
        <f>HYPERLINK("https://www.boe.es/gazeta/dias/1818/06/27/pdfs/GMD-1818-77.pdf#page=5","Abrir facsímil")</f>
        <v>Abrir facsímil</v>
      </c>
      <c r="K3025" s="3" t="s">
        <v>38</v>
      </c>
    </row>
    <row r="3026" spans="1:11" ht="42" customHeight="1">
      <c r="A3026" s="2" t="s">
        <v>7173</v>
      </c>
      <c r="B3026" s="2" t="s">
        <v>7174</v>
      </c>
      <c r="C3026" s="2" t="s">
        <v>26</v>
      </c>
      <c r="D3026" s="2" t="s">
        <v>27</v>
      </c>
      <c r="E3026" s="5">
        <v>-29920</v>
      </c>
      <c r="F3026" s="3" t="s">
        <v>201</v>
      </c>
      <c r="G3026" s="3" t="s">
        <v>503</v>
      </c>
      <c r="H3026" s="2" t="s">
        <v>36</v>
      </c>
      <c r="I3026" s="2" t="s">
        <v>7175</v>
      </c>
      <c r="J3026" s="3" t="str">
        <f>HYPERLINK("https://www.boe.es/gazeta/dias/1818/01/29/pdfs/GMD-1818-13.pdf#page=10","Abrir facsímil")</f>
        <v>Abrir facsímil</v>
      </c>
      <c r="K3026" s="3" t="s">
        <v>38</v>
      </c>
    </row>
    <row r="3027" spans="1:11" ht="42" customHeight="1">
      <c r="A3027" s="2" t="s">
        <v>7176</v>
      </c>
      <c r="B3027" s="2" t="s">
        <v>7177</v>
      </c>
      <c r="C3027" s="2" t="s">
        <v>26</v>
      </c>
      <c r="D3027" s="2" t="s">
        <v>27</v>
      </c>
      <c r="E3027" s="5">
        <v>-29843</v>
      </c>
      <c r="F3027" s="3" t="s">
        <v>182</v>
      </c>
      <c r="G3027" s="3" t="s">
        <v>59</v>
      </c>
      <c r="H3027" s="2" t="s">
        <v>36</v>
      </c>
      <c r="I3027" s="2" t="s">
        <v>7178</v>
      </c>
      <c r="J3027" s="3" t="str">
        <f>HYPERLINK("https://www.boe.es/gazeta/dias/1818/04/16/pdfs/GMD-1818-46.pdf#page=6","Abrir facsímil")</f>
        <v>Abrir facsímil</v>
      </c>
      <c r="K3027" s="3" t="s">
        <v>38</v>
      </c>
    </row>
    <row r="3028" spans="1:11" ht="42" customHeight="1">
      <c r="A3028" s="2" t="s">
        <v>7179</v>
      </c>
      <c r="B3028" s="2" t="s">
        <v>7180</v>
      </c>
      <c r="C3028" s="2" t="s">
        <v>26</v>
      </c>
      <c r="D3028" s="2" t="s">
        <v>27</v>
      </c>
      <c r="E3028" s="5">
        <v>-29918</v>
      </c>
      <c r="F3028" s="3" t="s">
        <v>89</v>
      </c>
      <c r="G3028" s="3" t="s">
        <v>90</v>
      </c>
      <c r="H3028" s="2" t="s">
        <v>21</v>
      </c>
      <c r="I3028" s="2" t="s">
        <v>7181</v>
      </c>
      <c r="J3028" s="3" t="str">
        <f>HYPERLINK("https://www.boe.es/gazeta/dias/1818/01/31/pdfs/GMD-1818-14.pdf#page=10","Abrir facsímil")</f>
        <v>Abrir facsímil</v>
      </c>
      <c r="K3028" s="3" t="s">
        <v>23</v>
      </c>
    </row>
    <row r="3029" spans="1:11" ht="42" customHeight="1">
      <c r="A3029" s="2" t="s">
        <v>7182</v>
      </c>
      <c r="B3029" s="2" t="s">
        <v>7183</v>
      </c>
      <c r="C3029" s="2" t="s">
        <v>17</v>
      </c>
      <c r="D3029" s="2" t="s">
        <v>18</v>
      </c>
      <c r="E3029" s="5">
        <v>-29710</v>
      </c>
      <c r="F3029" s="3" t="s">
        <v>1026</v>
      </c>
      <c r="G3029" s="3" t="s">
        <v>7184</v>
      </c>
      <c r="H3029" s="2" t="s">
        <v>36</v>
      </c>
      <c r="I3029" s="2" t="s">
        <v>7185</v>
      </c>
      <c r="J3029" s="3" t="str">
        <f>HYPERLINK("https://www.boe.es/gazeta/dias/1818/08/27/pdfs/GMD-1818-103.pdf#page=5","Abrir facsímil")</f>
        <v>Abrir facsímil</v>
      </c>
      <c r="K3029" s="3" t="s">
        <v>38</v>
      </c>
    </row>
    <row r="3030" spans="1:11" ht="42" customHeight="1">
      <c r="A3030" s="2" t="s">
        <v>7186</v>
      </c>
      <c r="B3030" s="2" t="s">
        <v>7187</v>
      </c>
      <c r="C3030" s="2" t="s">
        <v>17</v>
      </c>
      <c r="D3030" s="2" t="s">
        <v>18</v>
      </c>
      <c r="E3030" s="5">
        <v>-29771</v>
      </c>
      <c r="F3030" s="3" t="s">
        <v>1260</v>
      </c>
      <c r="G3030" s="3" t="s">
        <v>4136</v>
      </c>
      <c r="H3030" s="2" t="s">
        <v>36</v>
      </c>
      <c r="I3030" s="2" t="s">
        <v>7188</v>
      </c>
      <c r="J3030" s="3" t="str">
        <f>HYPERLINK("https://www.boe.es/gazeta/dias/1818/06/27/pdfs/GMD-1818-77.pdf#page=4","Abrir facsímil")</f>
        <v>Abrir facsímil</v>
      </c>
      <c r="K3030" s="3" t="s">
        <v>38</v>
      </c>
    </row>
    <row r="3031" spans="1:11" ht="42" customHeight="1">
      <c r="A3031" s="2" t="s">
        <v>7189</v>
      </c>
      <c r="B3031" s="2" t="s">
        <v>7190</v>
      </c>
      <c r="C3031" s="2" t="s">
        <v>26</v>
      </c>
      <c r="D3031" s="2" t="s">
        <v>27</v>
      </c>
      <c r="E3031" s="5">
        <v>-29920</v>
      </c>
      <c r="F3031" s="3" t="s">
        <v>201</v>
      </c>
      <c r="G3031" s="3" t="s">
        <v>111</v>
      </c>
      <c r="H3031" s="2" t="s">
        <v>36</v>
      </c>
      <c r="I3031" s="2" t="s">
        <v>7191</v>
      </c>
      <c r="J3031" s="3" t="str">
        <f>HYPERLINK("https://www.boe.es/gazeta/dias/1818/01/29/pdfs/GMD-1818-13.pdf#page=11","Abrir facsímil")</f>
        <v>Abrir facsímil</v>
      </c>
      <c r="K3031" s="3" t="s">
        <v>38</v>
      </c>
    </row>
    <row r="3032" spans="1:11" ht="42" customHeight="1">
      <c r="A3032" s="2" t="s">
        <v>7189</v>
      </c>
      <c r="B3032" s="2" t="s">
        <v>7190</v>
      </c>
      <c r="C3032" s="2" t="s">
        <v>26</v>
      </c>
      <c r="D3032" s="2" t="s">
        <v>27</v>
      </c>
      <c r="E3032" s="5">
        <v>-29920</v>
      </c>
      <c r="F3032" s="3" t="s">
        <v>201</v>
      </c>
      <c r="G3032" s="3" t="s">
        <v>45</v>
      </c>
      <c r="H3032" s="2" t="s">
        <v>36</v>
      </c>
      <c r="I3032" s="2" t="s">
        <v>7192</v>
      </c>
      <c r="J3032" s="3" t="str">
        <f>HYPERLINK("https://www.boe.es/gazeta/dias/1818/01/29/pdfs/GMD-1818-13.pdf#page=8","Abrir facsímil")</f>
        <v>Abrir facsímil</v>
      </c>
      <c r="K3032" s="3" t="s">
        <v>38</v>
      </c>
    </row>
    <row r="3033" spans="1:11" ht="42" customHeight="1">
      <c r="A3033" s="2" t="s">
        <v>7189</v>
      </c>
      <c r="B3033" s="2" t="s">
        <v>7190</v>
      </c>
      <c r="C3033" s="2" t="s">
        <v>33</v>
      </c>
      <c r="D3033" s="2" t="s">
        <v>18</v>
      </c>
      <c r="E3033" s="5">
        <v>-29698</v>
      </c>
      <c r="F3033" s="3" t="s">
        <v>148</v>
      </c>
      <c r="G3033" s="3" t="s">
        <v>106</v>
      </c>
      <c r="H3033" s="2" t="s">
        <v>36</v>
      </c>
      <c r="I3033" s="2" t="s">
        <v>7193</v>
      </c>
      <c r="J3033" s="3" t="str">
        <f>HYPERLINK("https://www.boe.es/gazeta/dias/1818/09/08/pdfs/GMD-1818-108.pdf#page=5","Abrir facsímil")</f>
        <v>Abrir facsímil</v>
      </c>
      <c r="K3033" s="3" t="s">
        <v>38</v>
      </c>
    </row>
    <row r="3034" spans="1:11" ht="42" customHeight="1">
      <c r="A3034" s="2" t="s">
        <v>7194</v>
      </c>
      <c r="B3034" s="2" t="s">
        <v>7195</v>
      </c>
      <c r="C3034" s="2" t="s">
        <v>26</v>
      </c>
      <c r="D3034" s="2" t="s">
        <v>27</v>
      </c>
      <c r="E3034" s="5">
        <v>-29831</v>
      </c>
      <c r="F3034" s="3" t="s">
        <v>567</v>
      </c>
      <c r="G3034" s="3" t="s">
        <v>45</v>
      </c>
      <c r="H3034" s="2" t="s">
        <v>36</v>
      </c>
      <c r="I3034" s="2" t="s">
        <v>7196</v>
      </c>
      <c r="J3034" s="3" t="str">
        <f>HYPERLINK("https://www.boe.es/gazeta/dias/1818/04/28/pdfs/GMD-1818-51.pdf#page=8","Abrir facsímil")</f>
        <v>Abrir facsímil</v>
      </c>
      <c r="K3034" s="3" t="s">
        <v>38</v>
      </c>
    </row>
    <row r="3035" spans="1:11" ht="42" customHeight="1">
      <c r="A3035" s="2" t="s">
        <v>7197</v>
      </c>
      <c r="B3035" s="2" t="s">
        <v>7198</v>
      </c>
      <c r="C3035" s="2" t="s">
        <v>26</v>
      </c>
      <c r="D3035" s="2" t="s">
        <v>27</v>
      </c>
      <c r="E3035" s="5">
        <v>-29808</v>
      </c>
      <c r="F3035" s="3" t="s">
        <v>80</v>
      </c>
      <c r="G3035" s="3" t="s">
        <v>20</v>
      </c>
      <c r="H3035" s="2" t="s">
        <v>21</v>
      </c>
      <c r="I3035" s="2" t="s">
        <v>7199</v>
      </c>
      <c r="J3035" s="3" t="str">
        <f>HYPERLINK("https://www.boe.es/gazeta/dias/1818/05/21/pdfs/GMD-1818-61.pdf#page=7","Abrir facsímil")</f>
        <v>Abrir facsímil</v>
      </c>
      <c r="K3035" s="3" t="s">
        <v>23</v>
      </c>
    </row>
    <row r="3036" spans="1:11" ht="42" customHeight="1">
      <c r="A3036" s="2" t="s">
        <v>7200</v>
      </c>
      <c r="B3036" s="2" t="s">
        <v>7200</v>
      </c>
      <c r="C3036" s="2" t="s">
        <v>26</v>
      </c>
      <c r="D3036" s="2" t="s">
        <v>27</v>
      </c>
      <c r="E3036" s="5">
        <v>-29803</v>
      </c>
      <c r="F3036" s="3" t="s">
        <v>1393</v>
      </c>
      <c r="G3036" s="3" t="s">
        <v>6038</v>
      </c>
      <c r="H3036" s="2" t="s">
        <v>36</v>
      </c>
      <c r="I3036" s="2" t="s">
        <v>7201</v>
      </c>
      <c r="J3036" s="3" t="str">
        <f>HYPERLINK("https://www.boe.es/gazeta/dias/1818/05/26/pdfs/GMD-1818-63.pdf#page=4","Abrir facsímil")</f>
        <v>Abrir facsímil</v>
      </c>
      <c r="K3036" s="3" t="s">
        <v>38</v>
      </c>
    </row>
    <row r="3037" spans="1:11" ht="42" customHeight="1">
      <c r="A3037" s="2" t="s">
        <v>7202</v>
      </c>
      <c r="B3037" s="2" t="s">
        <v>7203</v>
      </c>
      <c r="C3037" s="2" t="s">
        <v>26</v>
      </c>
      <c r="D3037" s="2" t="s">
        <v>27</v>
      </c>
      <c r="E3037" s="5">
        <v>-29878</v>
      </c>
      <c r="F3037" s="3" t="s">
        <v>353</v>
      </c>
      <c r="G3037" s="3" t="s">
        <v>85</v>
      </c>
      <c r="H3037" s="2" t="s">
        <v>36</v>
      </c>
      <c r="I3037" s="2" t="s">
        <v>7204</v>
      </c>
      <c r="J3037" s="3" t="str">
        <f>HYPERLINK("https://www.boe.es/gazeta/dias/1818/03/12/pdfs/GMD-1818-31.pdf#page=3","Abrir facsímil")</f>
        <v>Abrir facsímil</v>
      </c>
      <c r="K3037" s="3" t="s">
        <v>38</v>
      </c>
    </row>
    <row r="3038" spans="1:11" ht="42" customHeight="1">
      <c r="A3038" s="2" t="s">
        <v>7202</v>
      </c>
      <c r="B3038" s="2" t="s">
        <v>7203</v>
      </c>
      <c r="C3038" s="2" t="s">
        <v>26</v>
      </c>
      <c r="D3038" s="2" t="s">
        <v>27</v>
      </c>
      <c r="E3038" s="5">
        <v>-29878</v>
      </c>
      <c r="F3038" s="3" t="s">
        <v>353</v>
      </c>
      <c r="G3038" s="3" t="s">
        <v>29</v>
      </c>
      <c r="H3038" s="2" t="s">
        <v>36</v>
      </c>
      <c r="I3038" s="2" t="s">
        <v>7205</v>
      </c>
      <c r="J3038" s="3" t="str">
        <f>HYPERLINK("https://www.boe.es/gazeta/dias/1818/03/12/pdfs/GMD-1818-31.pdf#page=4","Abrir facsímil")</f>
        <v>Abrir facsímil</v>
      </c>
      <c r="K3038" s="3" t="s">
        <v>38</v>
      </c>
    </row>
    <row r="3039" spans="1:11" ht="42" customHeight="1">
      <c r="A3039" s="2" t="s">
        <v>7202</v>
      </c>
      <c r="B3039" s="2" t="s">
        <v>7203</v>
      </c>
      <c r="C3039" s="2" t="s">
        <v>26</v>
      </c>
      <c r="D3039" s="2" t="s">
        <v>27</v>
      </c>
      <c r="E3039" s="5">
        <v>-29813</v>
      </c>
      <c r="F3039" s="3" t="s">
        <v>839</v>
      </c>
      <c r="G3039" s="3" t="s">
        <v>29</v>
      </c>
      <c r="H3039" s="2" t="s">
        <v>36</v>
      </c>
      <c r="I3039" s="2" t="s">
        <v>7206</v>
      </c>
      <c r="J3039" s="3" t="str">
        <f>HYPERLINK("https://www.boe.es/gazeta/dias/1818/05/16/pdfs/GMD-1818-59.pdf#page=4","Abrir facsímil")</f>
        <v>Abrir facsímil</v>
      </c>
      <c r="K3039" s="3" t="s">
        <v>38</v>
      </c>
    </row>
    <row r="3040" spans="1:11" ht="42" customHeight="1">
      <c r="A3040" s="2" t="s">
        <v>7202</v>
      </c>
      <c r="B3040" s="2" t="s">
        <v>7203</v>
      </c>
      <c r="C3040" s="2" t="s">
        <v>26</v>
      </c>
      <c r="D3040" s="2" t="s">
        <v>27</v>
      </c>
      <c r="E3040" s="5">
        <v>-29803</v>
      </c>
      <c r="F3040" s="3" t="s">
        <v>1393</v>
      </c>
      <c r="G3040" s="3" t="s">
        <v>6038</v>
      </c>
      <c r="H3040" s="2" t="s">
        <v>36</v>
      </c>
      <c r="I3040" s="2" t="s">
        <v>7207</v>
      </c>
      <c r="J3040" s="3" t="str">
        <f>HYPERLINK("https://www.boe.es/gazeta/dias/1818/05/26/pdfs/GMD-1818-63.pdf#page=4","Abrir facsímil")</f>
        <v>Abrir facsímil</v>
      </c>
      <c r="K3040" s="3" t="s">
        <v>38</v>
      </c>
    </row>
    <row r="3041" spans="1:11" ht="42" customHeight="1">
      <c r="A3041" s="2" t="s">
        <v>7208</v>
      </c>
      <c r="B3041" s="2" t="s">
        <v>7208</v>
      </c>
      <c r="C3041" s="2" t="s">
        <v>26</v>
      </c>
      <c r="D3041" s="2" t="s">
        <v>27</v>
      </c>
      <c r="E3041" s="5">
        <v>-29661</v>
      </c>
      <c r="F3041" s="3" t="s">
        <v>348</v>
      </c>
      <c r="G3041" s="3" t="s">
        <v>120</v>
      </c>
      <c r="H3041" s="2" t="s">
        <v>36</v>
      </c>
      <c r="I3041" s="2" t="s">
        <v>7209</v>
      </c>
      <c r="J3041" s="3" t="str">
        <f>HYPERLINK("https://www.boe.es/gazeta/dias/1818/10/15/pdfs/GMD-1818-124.pdf#page=2","Abrir facsímil")</f>
        <v>Abrir facsímil</v>
      </c>
      <c r="K3041" s="3" t="s">
        <v>38</v>
      </c>
    </row>
    <row r="3042" spans="1:11" ht="42" customHeight="1">
      <c r="A3042" s="2" t="s">
        <v>7210</v>
      </c>
      <c r="B3042" s="2" t="s">
        <v>7211</v>
      </c>
      <c r="C3042" s="2" t="s">
        <v>26</v>
      </c>
      <c r="D3042" s="2" t="s">
        <v>27</v>
      </c>
      <c r="E3042" s="5">
        <v>-29918</v>
      </c>
      <c r="F3042" s="3" t="s">
        <v>89</v>
      </c>
      <c r="G3042" s="3" t="s">
        <v>90</v>
      </c>
      <c r="H3042" s="2" t="s">
        <v>21</v>
      </c>
      <c r="I3042" s="2" t="s">
        <v>7212</v>
      </c>
      <c r="J3042" s="3" t="str">
        <f>HYPERLINK("https://www.boe.es/gazeta/dias/1818/01/31/pdfs/GMD-1818-14.pdf#page=10","Abrir facsímil")</f>
        <v>Abrir facsímil</v>
      </c>
      <c r="K3042" s="3" t="s">
        <v>23</v>
      </c>
    </row>
    <row r="3043" spans="1:11" ht="42" customHeight="1">
      <c r="A3043" s="2" t="s">
        <v>7213</v>
      </c>
      <c r="B3043" s="2" t="s">
        <v>7214</v>
      </c>
      <c r="C3043" s="2" t="s">
        <v>26</v>
      </c>
      <c r="D3043" s="2" t="s">
        <v>27</v>
      </c>
      <c r="E3043" s="5">
        <v>-29906</v>
      </c>
      <c r="F3043" s="3" t="s">
        <v>28</v>
      </c>
      <c r="G3043" s="3" t="s">
        <v>59</v>
      </c>
      <c r="H3043" s="2" t="s">
        <v>36</v>
      </c>
      <c r="I3043" s="2" t="s">
        <v>7215</v>
      </c>
      <c r="J3043" s="3" t="str">
        <f>HYPERLINK("https://www.boe.es/gazeta/dias/1818/02/12/pdfs/GMD-1818-19.pdf#page=6","Abrir facsímil")</f>
        <v>Abrir facsímil</v>
      </c>
      <c r="K3043" s="3" t="s">
        <v>38</v>
      </c>
    </row>
    <row r="3044" spans="1:11" ht="42" customHeight="1">
      <c r="A3044" s="2" t="s">
        <v>7216</v>
      </c>
      <c r="B3044" s="2" t="s">
        <v>7216</v>
      </c>
      <c r="C3044" s="2" t="s">
        <v>68</v>
      </c>
      <c r="D3044" s="2" t="s">
        <v>69</v>
      </c>
      <c r="E3044" s="5">
        <v>-29775</v>
      </c>
      <c r="F3044" s="3" t="s">
        <v>1245</v>
      </c>
      <c r="G3044" s="3" t="s">
        <v>2994</v>
      </c>
      <c r="H3044" s="2" t="s">
        <v>36</v>
      </c>
      <c r="I3044" s="2" t="s">
        <v>7217</v>
      </c>
      <c r="J3044" s="3" t="str">
        <f>HYPERLINK("https://www.boe.es/gazeta/dias/1818/06/23/pdfs/GMD-1818-75.pdf#page=1","Abrir facsímil")</f>
        <v>Abrir facsímil</v>
      </c>
      <c r="K3044" s="3" t="s">
        <v>38</v>
      </c>
    </row>
    <row r="3045" spans="1:11" ht="42" customHeight="1">
      <c r="A3045" s="2" t="s">
        <v>7218</v>
      </c>
      <c r="B3045" s="2" t="s">
        <v>7219</v>
      </c>
      <c r="C3045" s="2" t="s">
        <v>17</v>
      </c>
      <c r="D3045" s="2" t="s">
        <v>18</v>
      </c>
      <c r="E3045" s="5">
        <v>-29666</v>
      </c>
      <c r="F3045" s="3" t="s">
        <v>258</v>
      </c>
      <c r="G3045" s="3" t="s">
        <v>20</v>
      </c>
      <c r="H3045" s="2" t="s">
        <v>36</v>
      </c>
      <c r="I3045" s="2" t="s">
        <v>7220</v>
      </c>
      <c r="J3045" s="3" t="str">
        <f>HYPERLINK("https://www.boe.es/gazeta/dias/1818/10/10/pdfs/GMD-1818-122.pdf#page=7","Abrir facsímil")</f>
        <v>Abrir facsímil</v>
      </c>
      <c r="K3045" s="3" t="s">
        <v>38</v>
      </c>
    </row>
    <row r="3046" spans="1:11" ht="42" customHeight="1">
      <c r="A3046" s="2" t="s">
        <v>7221</v>
      </c>
      <c r="B3046" s="2" t="s">
        <v>7221</v>
      </c>
      <c r="C3046" s="2" t="s">
        <v>26</v>
      </c>
      <c r="D3046" s="2" t="s">
        <v>27</v>
      </c>
      <c r="E3046" s="5">
        <v>-29887</v>
      </c>
      <c r="F3046" s="3" t="s">
        <v>613</v>
      </c>
      <c r="G3046" s="3" t="s">
        <v>59</v>
      </c>
      <c r="H3046" s="2" t="s">
        <v>36</v>
      </c>
      <c r="I3046" s="2" t="s">
        <v>7222</v>
      </c>
      <c r="J3046" s="3" t="str">
        <f>HYPERLINK("https://www.boe.es/gazeta/dias/1818/03/03/pdfs/GMD-1818-27.pdf#page=6","Abrir facsímil")</f>
        <v>Abrir facsímil</v>
      </c>
      <c r="K3046" s="3" t="s">
        <v>38</v>
      </c>
    </row>
    <row r="3047" spans="1:11" ht="42" customHeight="1">
      <c r="A3047" s="2" t="s">
        <v>7223</v>
      </c>
      <c r="B3047" s="2" t="s">
        <v>7223</v>
      </c>
      <c r="C3047" s="2" t="s">
        <v>26</v>
      </c>
      <c r="D3047" s="2" t="s">
        <v>27</v>
      </c>
      <c r="E3047" s="5">
        <v>-29719</v>
      </c>
      <c r="F3047" s="3" t="s">
        <v>243</v>
      </c>
      <c r="G3047" s="3" t="s">
        <v>49</v>
      </c>
      <c r="H3047" s="2" t="s">
        <v>36</v>
      </c>
      <c r="I3047" s="2" t="s">
        <v>7224</v>
      </c>
      <c r="J3047" s="3" t="str">
        <f>HYPERLINK("https://www.boe.es/gazeta/dias/1818/08/18/pdfs/GMD-1818-99.pdf#page=1","Abrir facsímil")</f>
        <v>Abrir facsímil</v>
      </c>
      <c r="K3047" s="3" t="s">
        <v>38</v>
      </c>
    </row>
    <row r="3048" spans="1:11" ht="42" customHeight="1">
      <c r="A3048" s="2" t="s">
        <v>7225</v>
      </c>
      <c r="B3048" s="2" t="s">
        <v>7226</v>
      </c>
      <c r="C3048" s="2" t="s">
        <v>97</v>
      </c>
      <c r="D3048" s="2" t="s">
        <v>18</v>
      </c>
      <c r="E3048" s="5">
        <v>-29829</v>
      </c>
      <c r="F3048" s="3" t="s">
        <v>44</v>
      </c>
      <c r="G3048" s="3" t="s">
        <v>45</v>
      </c>
      <c r="H3048" s="2" t="s">
        <v>36</v>
      </c>
      <c r="I3048" s="2" t="s">
        <v>7227</v>
      </c>
      <c r="J3048" s="3" t="str">
        <f>HYPERLINK("https://www.boe.es/gazeta/dias/1818/04/30/pdfs/GMD-1818-52.pdf#page=8","Abrir facsímil")</f>
        <v>Abrir facsímil</v>
      </c>
      <c r="K3048" s="3" t="s">
        <v>38</v>
      </c>
    </row>
    <row r="3049" spans="1:11" ht="42" customHeight="1">
      <c r="A3049" s="2" t="s">
        <v>7228</v>
      </c>
      <c r="B3049" s="2" t="s">
        <v>7228</v>
      </c>
      <c r="C3049" s="2" t="s">
        <v>68</v>
      </c>
      <c r="D3049" s="2" t="s">
        <v>69</v>
      </c>
      <c r="E3049" s="5">
        <v>-29834</v>
      </c>
      <c r="F3049" s="3" t="s">
        <v>457</v>
      </c>
      <c r="G3049" s="3" t="s">
        <v>49</v>
      </c>
      <c r="H3049" s="2" t="s">
        <v>36</v>
      </c>
      <c r="I3049" s="2" t="s">
        <v>7229</v>
      </c>
      <c r="J3049" s="3" t="str">
        <f>HYPERLINK("https://www.boe.es/gazeta/dias/1818/04/25/pdfs/GMD-1818-50.pdf#page=1","Abrir facsímil")</f>
        <v>Abrir facsímil</v>
      </c>
      <c r="K3049" s="3" t="s">
        <v>38</v>
      </c>
    </row>
    <row r="3050" spans="1:11" ht="42" customHeight="1">
      <c r="A3050" s="2" t="s">
        <v>7230</v>
      </c>
      <c r="B3050" s="2" t="s">
        <v>7230</v>
      </c>
      <c r="C3050" s="2" t="s">
        <v>26</v>
      </c>
      <c r="D3050" s="2" t="s">
        <v>27</v>
      </c>
      <c r="E3050" s="5">
        <v>-29897</v>
      </c>
      <c r="F3050" s="3" t="s">
        <v>318</v>
      </c>
      <c r="G3050" s="3" t="s">
        <v>29</v>
      </c>
      <c r="H3050" s="2" t="s">
        <v>36</v>
      </c>
      <c r="I3050" s="2" t="s">
        <v>7231</v>
      </c>
      <c r="J3050" s="3" t="str">
        <f>HYPERLINK("https://www.boe.es/gazeta/dias/1818/02/21/pdfs/GMD-1818-23.pdf#page=4","Abrir facsímil")</f>
        <v>Abrir facsímil</v>
      </c>
      <c r="K3050" s="3" t="s">
        <v>38</v>
      </c>
    </row>
    <row r="3051" spans="1:11" ht="42" customHeight="1">
      <c r="A3051" s="2" t="s">
        <v>7232</v>
      </c>
      <c r="B3051" s="2" t="s">
        <v>7232</v>
      </c>
      <c r="C3051" s="2" t="s">
        <v>26</v>
      </c>
      <c r="D3051" s="2" t="s">
        <v>27</v>
      </c>
      <c r="E3051" s="5">
        <v>-29906</v>
      </c>
      <c r="F3051" s="3" t="s">
        <v>28</v>
      </c>
      <c r="G3051" s="3" t="s">
        <v>29</v>
      </c>
      <c r="H3051" s="2" t="s">
        <v>36</v>
      </c>
      <c r="I3051" s="2" t="s">
        <v>7233</v>
      </c>
      <c r="J3051" s="3" t="str">
        <f>HYPERLINK("https://www.boe.es/gazeta/dias/1818/02/12/pdfs/GMD-1818-19.pdf#page=4","Abrir facsímil")</f>
        <v>Abrir facsímil</v>
      </c>
      <c r="K3051" s="3" t="s">
        <v>38</v>
      </c>
    </row>
    <row r="3052" spans="1:11" ht="42" customHeight="1">
      <c r="A3052" s="2" t="s">
        <v>7232</v>
      </c>
      <c r="B3052" s="2" t="s">
        <v>7232</v>
      </c>
      <c r="C3052" s="2" t="s">
        <v>26</v>
      </c>
      <c r="D3052" s="2" t="s">
        <v>27</v>
      </c>
      <c r="E3052" s="5">
        <v>-29901</v>
      </c>
      <c r="F3052" s="3" t="s">
        <v>417</v>
      </c>
      <c r="G3052" s="3" t="s">
        <v>45</v>
      </c>
      <c r="H3052" s="2" t="s">
        <v>36</v>
      </c>
      <c r="I3052" s="2" t="s">
        <v>7234</v>
      </c>
      <c r="J3052" s="3" t="str">
        <f>HYPERLINK("https://www.boe.es/gazeta/dias/1818/02/17/pdfs/GMD-1818-21.pdf#page=8","Abrir facsímil")</f>
        <v>Abrir facsímil</v>
      </c>
      <c r="K3052" s="3" t="s">
        <v>38</v>
      </c>
    </row>
    <row r="3053" spans="1:11" ht="42" customHeight="1">
      <c r="A3053" s="2" t="s">
        <v>7232</v>
      </c>
      <c r="B3053" s="2" t="s">
        <v>7232</v>
      </c>
      <c r="C3053" s="2" t="s">
        <v>68</v>
      </c>
      <c r="D3053" s="2" t="s">
        <v>69</v>
      </c>
      <c r="E3053" s="5">
        <v>-29838</v>
      </c>
      <c r="F3053" s="3" t="s">
        <v>593</v>
      </c>
      <c r="G3053" s="3" t="s">
        <v>85</v>
      </c>
      <c r="H3053" s="2" t="s">
        <v>36</v>
      </c>
      <c r="I3053" s="2" t="s">
        <v>7235</v>
      </c>
      <c r="J3053" s="3" t="str">
        <f>HYPERLINK("https://www.boe.es/gazeta/dias/1818/04/21/pdfs/GMD-1818-48.pdf#page=3","Abrir facsímil")</f>
        <v>Abrir facsímil</v>
      </c>
      <c r="K3053" s="3" t="s">
        <v>38</v>
      </c>
    </row>
    <row r="3054" spans="1:11" ht="42" customHeight="1">
      <c r="A3054" s="2" t="s">
        <v>7232</v>
      </c>
      <c r="B3054" s="2" t="s">
        <v>7232</v>
      </c>
      <c r="C3054" s="2" t="s">
        <v>215</v>
      </c>
      <c r="D3054" s="2" t="s">
        <v>18</v>
      </c>
      <c r="E3054" s="5">
        <v>-29810</v>
      </c>
      <c r="F3054" s="3" t="s">
        <v>222</v>
      </c>
      <c r="G3054" s="3" t="s">
        <v>85</v>
      </c>
      <c r="H3054" s="2" t="s">
        <v>36</v>
      </c>
      <c r="I3054" s="2" t="s">
        <v>7236</v>
      </c>
      <c r="J3054" s="3" t="str">
        <f>HYPERLINK("https://www.boe.es/gazeta/dias/1818/05/19/pdfs/GMD-1818-60.pdf#page=3","Abrir facsímil")</f>
        <v>Abrir facsímil</v>
      </c>
      <c r="K3054" s="3" t="s">
        <v>38</v>
      </c>
    </row>
    <row r="3055" spans="1:11" ht="42" customHeight="1">
      <c r="A3055" s="2" t="s">
        <v>7232</v>
      </c>
      <c r="B3055" s="2" t="s">
        <v>7232</v>
      </c>
      <c r="C3055" s="2" t="s">
        <v>26</v>
      </c>
      <c r="D3055" s="2" t="s">
        <v>27</v>
      </c>
      <c r="E3055" s="5">
        <v>-29761</v>
      </c>
      <c r="F3055" s="3" t="s">
        <v>168</v>
      </c>
      <c r="G3055" s="3" t="s">
        <v>7237</v>
      </c>
      <c r="H3055" s="2" t="s">
        <v>36</v>
      </c>
      <c r="I3055" s="2" t="s">
        <v>7238</v>
      </c>
      <c r="J3055" s="3" t="str">
        <f>HYPERLINK("https://www.boe.es/gazeta/dias/1818/07/07/pdfs/GMD-1818-81.pdf#page=2","Abrir facsímil")</f>
        <v>Abrir facsímil</v>
      </c>
      <c r="K3055" s="3" t="s">
        <v>38</v>
      </c>
    </row>
    <row r="3056" spans="1:11" ht="42" customHeight="1">
      <c r="A3056" s="2" t="s">
        <v>7232</v>
      </c>
      <c r="B3056" s="2" t="s">
        <v>7232</v>
      </c>
      <c r="C3056" s="2" t="s">
        <v>26</v>
      </c>
      <c r="D3056" s="2" t="s">
        <v>27</v>
      </c>
      <c r="E3056" s="5">
        <v>-29761</v>
      </c>
      <c r="F3056" s="3" t="s">
        <v>168</v>
      </c>
      <c r="G3056" s="3" t="s">
        <v>49</v>
      </c>
      <c r="H3056" s="2" t="s">
        <v>36</v>
      </c>
      <c r="I3056" s="2" t="s">
        <v>7239</v>
      </c>
      <c r="J3056" s="3" t="str">
        <f>HYPERLINK("https://www.boe.es/gazeta/dias/1818/07/07/pdfs/GMD-1818-81.pdf#page=1","Abrir facsímil")</f>
        <v>Abrir facsímil</v>
      </c>
      <c r="K3056" s="3" t="s">
        <v>38</v>
      </c>
    </row>
    <row r="3057" spans="1:11" ht="42" customHeight="1">
      <c r="A3057" s="2" t="s">
        <v>7240</v>
      </c>
      <c r="B3057" s="2" t="s">
        <v>7240</v>
      </c>
      <c r="C3057" s="2" t="s">
        <v>33</v>
      </c>
      <c r="D3057" s="2" t="s">
        <v>18</v>
      </c>
      <c r="E3057" s="5">
        <v>-29750</v>
      </c>
      <c r="F3057" s="3" t="s">
        <v>384</v>
      </c>
      <c r="G3057" s="3" t="s">
        <v>116</v>
      </c>
      <c r="H3057" s="2" t="s">
        <v>36</v>
      </c>
      <c r="I3057" s="2" t="s">
        <v>7241</v>
      </c>
      <c r="J3057" s="3" t="str">
        <f>HYPERLINK("https://www.boe.es/gazeta/dias/1818/07/18/pdfs/GMD-1818-86.pdf#page=12","Abrir facsímil")</f>
        <v>Abrir facsímil</v>
      </c>
      <c r="K3057" s="3" t="s">
        <v>38</v>
      </c>
    </row>
    <row r="3058" spans="1:11" ht="42" customHeight="1">
      <c r="A3058" s="2" t="s">
        <v>7232</v>
      </c>
      <c r="B3058" s="2" t="s">
        <v>7232</v>
      </c>
      <c r="C3058" s="2" t="s">
        <v>17</v>
      </c>
      <c r="D3058" s="2" t="s">
        <v>18</v>
      </c>
      <c r="E3058" s="5">
        <v>-29715</v>
      </c>
      <c r="F3058" s="3" t="s">
        <v>208</v>
      </c>
      <c r="G3058" s="3" t="s">
        <v>49</v>
      </c>
      <c r="H3058" s="2" t="s">
        <v>36</v>
      </c>
      <c r="I3058" s="2" t="s">
        <v>7242</v>
      </c>
      <c r="J3058" s="3" t="str">
        <f>HYPERLINK("https://www.boe.es/gazeta/dias/1818/08/22/pdfs/GMD-1818-101.pdf#page=1","Abrir facsímil")</f>
        <v>Abrir facsímil</v>
      </c>
      <c r="K3058" s="3" t="s">
        <v>38</v>
      </c>
    </row>
    <row r="3059" spans="1:11" ht="42" customHeight="1">
      <c r="A3059" s="2" t="s">
        <v>7232</v>
      </c>
      <c r="B3059" s="2" t="s">
        <v>7232</v>
      </c>
      <c r="C3059" s="2" t="s">
        <v>17</v>
      </c>
      <c r="D3059" s="2" t="s">
        <v>18</v>
      </c>
      <c r="E3059" s="5">
        <v>-29708</v>
      </c>
      <c r="F3059" s="3" t="s">
        <v>413</v>
      </c>
      <c r="G3059" s="3" t="s">
        <v>49</v>
      </c>
      <c r="H3059" s="2" t="s">
        <v>36</v>
      </c>
      <c r="I3059" s="2" t="s">
        <v>7243</v>
      </c>
      <c r="J3059" s="3" t="str">
        <f>HYPERLINK("https://www.boe.es/gazeta/dias/1818/08/29/pdfs/GMD-1818-104.pdf#page=1","Abrir facsímil")</f>
        <v>Abrir facsímil</v>
      </c>
      <c r="K3059" s="3" t="s">
        <v>38</v>
      </c>
    </row>
    <row r="3060" spans="1:11" ht="42" customHeight="1">
      <c r="A3060" s="2" t="s">
        <v>7244</v>
      </c>
      <c r="B3060" s="2" t="s">
        <v>7244</v>
      </c>
      <c r="C3060" s="2" t="s">
        <v>17</v>
      </c>
      <c r="D3060" s="2" t="s">
        <v>18</v>
      </c>
      <c r="E3060" s="5">
        <v>-29887</v>
      </c>
      <c r="F3060" s="3" t="s">
        <v>613</v>
      </c>
      <c r="G3060" s="3" t="s">
        <v>120</v>
      </c>
      <c r="H3060" s="2" t="s">
        <v>36</v>
      </c>
      <c r="I3060" s="2" t="s">
        <v>7245</v>
      </c>
      <c r="J3060" s="3" t="str">
        <f>HYPERLINK("https://www.boe.es/gazeta/dias/1818/03/03/pdfs/GMD-1818-27.pdf#page=2","Abrir facsímil")</f>
        <v>Abrir facsímil</v>
      </c>
      <c r="K3060" s="3" t="s">
        <v>38</v>
      </c>
    </row>
    <row r="3061" spans="1:11" ht="42" customHeight="1">
      <c r="A3061" s="2" t="s">
        <v>7246</v>
      </c>
      <c r="B3061" s="2" t="s">
        <v>7247</v>
      </c>
      <c r="C3061" s="2" t="s">
        <v>26</v>
      </c>
      <c r="D3061" s="2" t="s">
        <v>27</v>
      </c>
      <c r="E3061" s="5">
        <v>-29586</v>
      </c>
      <c r="F3061" s="3" t="s">
        <v>683</v>
      </c>
      <c r="G3061" s="3" t="s">
        <v>20</v>
      </c>
      <c r="H3061" s="2" t="s">
        <v>36</v>
      </c>
      <c r="I3061" s="2" t="s">
        <v>7248</v>
      </c>
      <c r="J3061" s="3" t="str">
        <f>HYPERLINK("https://www.boe.es/gazeta/dias/1818/12/29/pdfs/GMD-1818-158.pdf#page=7","Abrir facsímil")</f>
        <v>Abrir facsímil</v>
      </c>
      <c r="K3061" s="3" t="s">
        <v>38</v>
      </c>
    </row>
    <row r="3062" spans="1:11" ht="42" customHeight="1">
      <c r="A3062" s="2" t="s">
        <v>7249</v>
      </c>
      <c r="B3062" s="2" t="s">
        <v>7250</v>
      </c>
      <c r="C3062" s="2" t="s">
        <v>26</v>
      </c>
      <c r="D3062" s="2" t="s">
        <v>27</v>
      </c>
      <c r="E3062" s="5">
        <v>-29703</v>
      </c>
      <c r="F3062" s="3" t="s">
        <v>294</v>
      </c>
      <c r="G3062" s="3" t="s">
        <v>29</v>
      </c>
      <c r="H3062" s="2" t="s">
        <v>36</v>
      </c>
      <c r="I3062" s="2" t="s">
        <v>7251</v>
      </c>
      <c r="J3062" s="3" t="str">
        <f>HYPERLINK("https://www.boe.es/gazeta/dias/1818/09/03/pdfs/GMD-1818-106.pdf#page=4","Abrir facsímil")</f>
        <v>Abrir facsímil</v>
      </c>
      <c r="K3062" s="3" t="s">
        <v>38</v>
      </c>
    </row>
    <row r="3063" spans="1:11" ht="42" customHeight="1">
      <c r="A3063" s="2" t="s">
        <v>7252</v>
      </c>
      <c r="B3063" s="2" t="s">
        <v>7252</v>
      </c>
      <c r="C3063" s="2" t="s">
        <v>26</v>
      </c>
      <c r="D3063" s="2" t="s">
        <v>27</v>
      </c>
      <c r="E3063" s="5">
        <v>-29607</v>
      </c>
      <c r="F3063" s="3" t="s">
        <v>704</v>
      </c>
      <c r="G3063" s="3" t="s">
        <v>85</v>
      </c>
      <c r="H3063" s="2" t="s">
        <v>36</v>
      </c>
      <c r="I3063" s="2" t="s">
        <v>7253</v>
      </c>
      <c r="J3063" s="3" t="str">
        <f>HYPERLINK("https://www.boe.es/gazeta/dias/1818/12/08/pdfs/GMD-1818-148.pdf#page=3","Abrir facsímil")</f>
        <v>Abrir facsímil</v>
      </c>
      <c r="K3063" s="3" t="s">
        <v>38</v>
      </c>
    </row>
    <row r="3064" spans="1:11" ht="42" customHeight="1">
      <c r="A3064" s="2" t="s">
        <v>7254</v>
      </c>
      <c r="B3064" s="2" t="s">
        <v>7254</v>
      </c>
      <c r="C3064" s="2" t="s">
        <v>215</v>
      </c>
      <c r="D3064" s="2" t="s">
        <v>18</v>
      </c>
      <c r="E3064" s="5">
        <v>-29810</v>
      </c>
      <c r="F3064" s="3" t="s">
        <v>222</v>
      </c>
      <c r="G3064" s="3" t="s">
        <v>85</v>
      </c>
      <c r="H3064" s="2" t="s">
        <v>36</v>
      </c>
      <c r="I3064" s="2" t="s">
        <v>7255</v>
      </c>
      <c r="J3064" s="3" t="str">
        <f>HYPERLINK("https://www.boe.es/gazeta/dias/1818/05/19/pdfs/GMD-1818-60.pdf#page=3","Abrir facsímil")</f>
        <v>Abrir facsímil</v>
      </c>
      <c r="K3064" s="3" t="s">
        <v>38</v>
      </c>
    </row>
    <row r="3065" spans="1:11" ht="42" customHeight="1">
      <c r="A3065" s="2" t="s">
        <v>7256</v>
      </c>
      <c r="B3065" s="2" t="s">
        <v>7257</v>
      </c>
      <c r="C3065" s="2" t="s">
        <v>26</v>
      </c>
      <c r="D3065" s="2" t="s">
        <v>27</v>
      </c>
      <c r="E3065" s="5">
        <v>-29887</v>
      </c>
      <c r="F3065" s="3" t="s">
        <v>613</v>
      </c>
      <c r="G3065" s="3" t="s">
        <v>59</v>
      </c>
      <c r="H3065" s="2" t="s">
        <v>36</v>
      </c>
      <c r="I3065" s="2" t="s">
        <v>7258</v>
      </c>
      <c r="J3065" s="3" t="str">
        <f>HYPERLINK("https://www.boe.es/gazeta/dias/1818/03/03/pdfs/GMD-1818-27.pdf#page=6","Abrir facsímil")</f>
        <v>Abrir facsímil</v>
      </c>
      <c r="K3065" s="3" t="s">
        <v>38</v>
      </c>
    </row>
    <row r="3066" spans="1:11" ht="42" customHeight="1">
      <c r="A3066" s="2" t="s">
        <v>7259</v>
      </c>
      <c r="B3066" s="2" t="s">
        <v>7260</v>
      </c>
      <c r="C3066" s="2" t="s">
        <v>17</v>
      </c>
      <c r="D3066" s="2" t="s">
        <v>18</v>
      </c>
      <c r="E3066" s="5">
        <v>-29698</v>
      </c>
      <c r="F3066" s="3" t="s">
        <v>148</v>
      </c>
      <c r="G3066" s="3" t="s">
        <v>29</v>
      </c>
      <c r="H3066" s="2" t="s">
        <v>36</v>
      </c>
      <c r="I3066" s="2" t="s">
        <v>7261</v>
      </c>
      <c r="J3066" s="3" t="str">
        <f>HYPERLINK("https://www.boe.es/gazeta/dias/1818/09/08/pdfs/GMD-1818-108.pdf#page=4","Abrir facsímil")</f>
        <v>Abrir facsímil</v>
      </c>
      <c r="K3066" s="3" t="s">
        <v>38</v>
      </c>
    </row>
    <row r="3067" spans="1:11" ht="42" customHeight="1">
      <c r="A3067" s="2" t="s">
        <v>7262</v>
      </c>
      <c r="B3067" s="2" t="s">
        <v>7263</v>
      </c>
      <c r="C3067" s="2" t="s">
        <v>26</v>
      </c>
      <c r="D3067" s="2" t="s">
        <v>27</v>
      </c>
      <c r="E3067" s="5">
        <v>-29943</v>
      </c>
      <c r="F3067" s="3" t="s">
        <v>1837</v>
      </c>
      <c r="G3067" s="3" t="s">
        <v>45</v>
      </c>
      <c r="H3067" s="2" t="s">
        <v>36</v>
      </c>
      <c r="I3067" s="2" t="s">
        <v>7264</v>
      </c>
      <c r="J3067" s="3" t="str">
        <f>HYPERLINK("https://www.boe.es/gazeta/dias/1818/01/06/pdfs/GMD-1818-3.pdf#page=8","Abrir facsímil")</f>
        <v>Abrir facsímil</v>
      </c>
      <c r="K3067" s="3" t="s">
        <v>38</v>
      </c>
    </row>
    <row r="3068" spans="1:11" ht="42" customHeight="1">
      <c r="A3068" s="2" t="s">
        <v>7265</v>
      </c>
      <c r="B3068" s="2" t="s">
        <v>7266</v>
      </c>
      <c r="C3068" s="2" t="s">
        <v>68</v>
      </c>
      <c r="D3068" s="2" t="s">
        <v>69</v>
      </c>
      <c r="E3068" s="5">
        <v>-29747</v>
      </c>
      <c r="F3068" s="3" t="s">
        <v>536</v>
      </c>
      <c r="G3068" s="3" t="s">
        <v>20</v>
      </c>
      <c r="H3068" s="2" t="s">
        <v>36</v>
      </c>
      <c r="I3068" s="2" t="s">
        <v>7267</v>
      </c>
      <c r="J3068" s="3" t="str">
        <f>HYPERLINK("https://www.boe.es/gazeta/dias/1818/07/21/pdfs/GMD-1818-87.pdf#page=7","Abrir facsímil")</f>
        <v>Abrir facsímil</v>
      </c>
      <c r="K3068" s="3" t="s">
        <v>38</v>
      </c>
    </row>
    <row r="3069" spans="1:11" ht="42" customHeight="1">
      <c r="A3069" s="2" t="s">
        <v>7268</v>
      </c>
      <c r="B3069" s="2" t="s">
        <v>7269</v>
      </c>
      <c r="C3069" s="2" t="s">
        <v>26</v>
      </c>
      <c r="D3069" s="2" t="s">
        <v>27</v>
      </c>
      <c r="E3069" s="5">
        <v>-29703</v>
      </c>
      <c r="F3069" s="3" t="s">
        <v>294</v>
      </c>
      <c r="G3069" s="3" t="s">
        <v>29</v>
      </c>
      <c r="H3069" s="2" t="s">
        <v>36</v>
      </c>
      <c r="I3069" s="2" t="s">
        <v>7270</v>
      </c>
      <c r="J3069" s="3" t="str">
        <f>HYPERLINK("https://www.boe.es/gazeta/dias/1818/09/03/pdfs/GMD-1818-106.pdf#page=4","Abrir facsímil")</f>
        <v>Abrir facsímil</v>
      </c>
      <c r="K3069" s="3" t="s">
        <v>38</v>
      </c>
    </row>
    <row r="3070" spans="1:11" ht="42" customHeight="1">
      <c r="A3070" s="2" t="s">
        <v>7271</v>
      </c>
      <c r="B3070" s="2" t="s">
        <v>7272</v>
      </c>
      <c r="C3070" s="2" t="s">
        <v>68</v>
      </c>
      <c r="D3070" s="2" t="s">
        <v>69</v>
      </c>
      <c r="E3070" s="5">
        <v>-29684</v>
      </c>
      <c r="F3070" s="3" t="s">
        <v>311</v>
      </c>
      <c r="G3070" s="3" t="s">
        <v>45</v>
      </c>
      <c r="H3070" s="2" t="s">
        <v>36</v>
      </c>
      <c r="I3070" s="2" t="s">
        <v>7273</v>
      </c>
      <c r="J3070" s="3" t="str">
        <f>HYPERLINK("https://www.boe.es/gazeta/dias/1818/09/22/pdfs/GMD-1818-114.pdf#page=8","Abrir facsímil")</f>
        <v>Abrir facsímil</v>
      </c>
      <c r="K3070" s="3" t="s">
        <v>38</v>
      </c>
    </row>
    <row r="3071" spans="1:11" ht="42" customHeight="1">
      <c r="A3071" s="2" t="s">
        <v>7274</v>
      </c>
      <c r="B3071" s="2" t="s">
        <v>7275</v>
      </c>
      <c r="C3071" s="2" t="s">
        <v>68</v>
      </c>
      <c r="D3071" s="2" t="s">
        <v>69</v>
      </c>
      <c r="E3071" s="5">
        <v>-29675</v>
      </c>
      <c r="F3071" s="3" t="s">
        <v>2314</v>
      </c>
      <c r="G3071" s="3" t="s">
        <v>45</v>
      </c>
      <c r="H3071" s="2" t="s">
        <v>36</v>
      </c>
      <c r="I3071" s="2" t="s">
        <v>7276</v>
      </c>
      <c r="J3071" s="3" t="str">
        <f>HYPERLINK("https://www.boe.es/gazeta/dias/1818/10/01/pdfs/GMD-1818-118.pdf#page=8","Abrir facsímil")</f>
        <v>Abrir facsímil</v>
      </c>
      <c r="K3071" s="3" t="s">
        <v>38</v>
      </c>
    </row>
    <row r="3072" spans="1:11" ht="42" customHeight="1">
      <c r="A3072" s="2" t="s">
        <v>7277</v>
      </c>
      <c r="B3072" s="2" t="s">
        <v>7278</v>
      </c>
      <c r="C3072" s="2" t="s">
        <v>97</v>
      </c>
      <c r="D3072" s="2" t="s">
        <v>18</v>
      </c>
      <c r="E3072" s="5">
        <v>-29757</v>
      </c>
      <c r="F3072" s="3" t="s">
        <v>115</v>
      </c>
      <c r="G3072" s="3" t="s">
        <v>116</v>
      </c>
      <c r="H3072" s="2" t="s">
        <v>36</v>
      </c>
      <c r="I3072" s="2" t="s">
        <v>7279</v>
      </c>
      <c r="J3072" s="3" t="str">
        <f>HYPERLINK("https://www.boe.es/gazeta/dias/1818/07/11/pdfs/GMD-1818-83.pdf#page=12","Abrir facsímil")</f>
        <v>Abrir facsímil</v>
      </c>
      <c r="K3072" s="3" t="s">
        <v>38</v>
      </c>
    </row>
    <row r="3073" spans="1:11" ht="42" customHeight="1">
      <c r="A3073" s="2" t="s">
        <v>7280</v>
      </c>
      <c r="B3073" s="2" t="s">
        <v>7281</v>
      </c>
      <c r="C3073" s="2" t="s">
        <v>63</v>
      </c>
      <c r="D3073" s="2" t="s">
        <v>18</v>
      </c>
      <c r="E3073" s="5">
        <v>-29848</v>
      </c>
      <c r="F3073" s="3" t="s">
        <v>571</v>
      </c>
      <c r="G3073" s="3" t="s">
        <v>45</v>
      </c>
      <c r="H3073" s="2" t="s">
        <v>36</v>
      </c>
      <c r="I3073" s="2" t="s">
        <v>7282</v>
      </c>
      <c r="J3073" s="3" t="str">
        <f>HYPERLINK("https://www.boe.es/gazeta/dias/1818/04/11/pdfs/GMD-1818-44.pdf#page=8","Abrir facsímil")</f>
        <v>Abrir facsímil</v>
      </c>
      <c r="K3073" s="3" t="s">
        <v>38</v>
      </c>
    </row>
    <row r="3074" spans="1:11" ht="42" customHeight="1">
      <c r="A3074" s="2" t="s">
        <v>7283</v>
      </c>
      <c r="B3074" s="2" t="s">
        <v>7284</v>
      </c>
      <c r="C3074" s="2" t="s">
        <v>97</v>
      </c>
      <c r="D3074" s="2" t="s">
        <v>18</v>
      </c>
      <c r="E3074" s="5">
        <v>-29848</v>
      </c>
      <c r="F3074" s="3" t="s">
        <v>571</v>
      </c>
      <c r="G3074" s="3" t="s">
        <v>45</v>
      </c>
      <c r="H3074" s="2" t="s">
        <v>36</v>
      </c>
      <c r="I3074" s="2" t="s">
        <v>7285</v>
      </c>
      <c r="J3074" s="3" t="str">
        <f>HYPERLINK("https://www.boe.es/gazeta/dias/1818/04/11/pdfs/GMD-1818-44.pdf#page=8","Abrir facsímil")</f>
        <v>Abrir facsímil</v>
      </c>
      <c r="K3074" s="3" t="s">
        <v>38</v>
      </c>
    </row>
    <row r="3075" spans="1:11" ht="42" customHeight="1">
      <c r="A3075" s="2" t="s">
        <v>7286</v>
      </c>
      <c r="B3075" s="2" t="s">
        <v>7286</v>
      </c>
      <c r="C3075" s="2" t="s">
        <v>26</v>
      </c>
      <c r="D3075" s="2" t="s">
        <v>27</v>
      </c>
      <c r="E3075" s="5">
        <v>-29925</v>
      </c>
      <c r="F3075" s="3" t="s">
        <v>447</v>
      </c>
      <c r="G3075" s="3" t="s">
        <v>120</v>
      </c>
      <c r="H3075" s="2" t="s">
        <v>36</v>
      </c>
      <c r="I3075" s="2" t="s">
        <v>7287</v>
      </c>
      <c r="J3075" s="3" t="str">
        <f>HYPERLINK("https://www.boe.es/gazeta/dias/1818/01/24/pdfs/GMD-1818-11.pdf#page=2","Abrir facsímil")</f>
        <v>Abrir facsímil</v>
      </c>
      <c r="K3075" s="3" t="s">
        <v>38</v>
      </c>
    </row>
    <row r="3076" spans="1:11" ht="42" customHeight="1">
      <c r="A3076" s="2" t="s">
        <v>7288</v>
      </c>
      <c r="B3076" s="2" t="s">
        <v>7289</v>
      </c>
      <c r="C3076" s="2" t="s">
        <v>26</v>
      </c>
      <c r="D3076" s="2" t="s">
        <v>27</v>
      </c>
      <c r="E3076" s="5">
        <v>-29897</v>
      </c>
      <c r="F3076" s="3" t="s">
        <v>318</v>
      </c>
      <c r="G3076" s="3" t="s">
        <v>29</v>
      </c>
      <c r="H3076" s="2" t="s">
        <v>36</v>
      </c>
      <c r="I3076" s="2" t="s">
        <v>7290</v>
      </c>
      <c r="J3076" s="3" t="str">
        <f>HYPERLINK("https://www.boe.es/gazeta/dias/1818/02/21/pdfs/GMD-1818-23.pdf#page=4","Abrir facsímil")</f>
        <v>Abrir facsímil</v>
      </c>
      <c r="K3076" s="3" t="s">
        <v>38</v>
      </c>
    </row>
    <row r="3077" spans="1:11" ht="42" customHeight="1">
      <c r="A3077" s="2" t="s">
        <v>7288</v>
      </c>
      <c r="B3077" s="2" t="s">
        <v>7289</v>
      </c>
      <c r="C3077" s="2" t="s">
        <v>26</v>
      </c>
      <c r="D3077" s="2" t="s">
        <v>27</v>
      </c>
      <c r="E3077" s="5">
        <v>-29887</v>
      </c>
      <c r="F3077" s="3" t="s">
        <v>613</v>
      </c>
      <c r="G3077" s="3" t="s">
        <v>106</v>
      </c>
      <c r="H3077" s="2" t="s">
        <v>36</v>
      </c>
      <c r="I3077" s="2" t="s">
        <v>7291</v>
      </c>
      <c r="J3077" s="3" t="str">
        <f>HYPERLINK("https://www.boe.es/gazeta/dias/1818/03/03/pdfs/GMD-1818-27.pdf#page=5","Abrir facsímil")</f>
        <v>Abrir facsímil</v>
      </c>
      <c r="K3077" s="3" t="s">
        <v>38</v>
      </c>
    </row>
    <row r="3078" spans="1:11" ht="42" customHeight="1">
      <c r="A3078" s="2" t="s">
        <v>7292</v>
      </c>
      <c r="B3078" s="2" t="s">
        <v>7293</v>
      </c>
      <c r="C3078" s="2" t="s">
        <v>17</v>
      </c>
      <c r="D3078" s="2" t="s">
        <v>18</v>
      </c>
      <c r="E3078" s="5">
        <v>-29757</v>
      </c>
      <c r="F3078" s="3" t="s">
        <v>115</v>
      </c>
      <c r="G3078" s="3" t="s">
        <v>59</v>
      </c>
      <c r="H3078" s="2" t="s">
        <v>36</v>
      </c>
      <c r="I3078" s="2" t="s">
        <v>7294</v>
      </c>
      <c r="J3078" s="3" t="str">
        <f>HYPERLINK("https://www.boe.es/gazeta/dias/1818/07/11/pdfs/GMD-1818-83.pdf#page=6","Abrir facsímil")</f>
        <v>Abrir facsímil</v>
      </c>
      <c r="K3078" s="3" t="s">
        <v>38</v>
      </c>
    </row>
    <row r="3079" spans="1:11" ht="42" customHeight="1">
      <c r="A3079" s="2" t="s">
        <v>7295</v>
      </c>
      <c r="B3079" s="2" t="s">
        <v>7296</v>
      </c>
      <c r="C3079" s="2" t="s">
        <v>17</v>
      </c>
      <c r="D3079" s="2" t="s">
        <v>18</v>
      </c>
      <c r="E3079" s="5">
        <v>-29698</v>
      </c>
      <c r="F3079" s="3" t="s">
        <v>148</v>
      </c>
      <c r="G3079" s="3" t="s">
        <v>59</v>
      </c>
      <c r="H3079" s="2" t="s">
        <v>36</v>
      </c>
      <c r="I3079" s="2" t="s">
        <v>7297</v>
      </c>
      <c r="J3079" s="3" t="str">
        <f>HYPERLINK("https://www.boe.es/gazeta/dias/1818/09/08/pdfs/GMD-1818-108.pdf#page=6","Abrir facsímil")</f>
        <v>Abrir facsímil</v>
      </c>
      <c r="K3079" s="3" t="s">
        <v>38</v>
      </c>
    </row>
    <row r="3080" spans="1:11" ht="42" customHeight="1">
      <c r="A3080" s="2" t="s">
        <v>7298</v>
      </c>
      <c r="B3080" s="2" t="s">
        <v>7299</v>
      </c>
      <c r="C3080" s="2" t="s">
        <v>17</v>
      </c>
      <c r="D3080" s="2" t="s">
        <v>18</v>
      </c>
      <c r="E3080" s="5">
        <v>-29684</v>
      </c>
      <c r="F3080" s="3" t="s">
        <v>311</v>
      </c>
      <c r="G3080" s="3" t="s">
        <v>20</v>
      </c>
      <c r="H3080" s="2" t="s">
        <v>36</v>
      </c>
      <c r="I3080" s="2" t="s">
        <v>7300</v>
      </c>
      <c r="J3080" s="3" t="str">
        <f>HYPERLINK("https://www.boe.es/gazeta/dias/1818/09/22/pdfs/GMD-1818-114.pdf#page=7","Abrir facsímil")</f>
        <v>Abrir facsímil</v>
      </c>
      <c r="K3080" s="3" t="s">
        <v>38</v>
      </c>
    </row>
    <row r="3081" spans="1:11" ht="42" customHeight="1">
      <c r="A3081" s="2" t="s">
        <v>7301</v>
      </c>
      <c r="B3081" s="2" t="s">
        <v>7302</v>
      </c>
      <c r="C3081" s="2" t="s">
        <v>26</v>
      </c>
      <c r="D3081" s="2" t="s">
        <v>27</v>
      </c>
      <c r="E3081" s="5">
        <v>-29719</v>
      </c>
      <c r="F3081" s="3" t="s">
        <v>243</v>
      </c>
      <c r="G3081" s="3" t="s">
        <v>59</v>
      </c>
      <c r="H3081" s="2" t="s">
        <v>36</v>
      </c>
      <c r="I3081" s="2" t="s">
        <v>7303</v>
      </c>
      <c r="J3081" s="3" t="str">
        <f>HYPERLINK("https://www.boe.es/gazeta/dias/1818/08/18/pdfs/GMD-1818-99.pdf#page=6","Abrir facsímil")</f>
        <v>Abrir facsímil</v>
      </c>
      <c r="K3081" s="3" t="s">
        <v>38</v>
      </c>
    </row>
    <row r="3082" spans="1:11" ht="42" customHeight="1">
      <c r="A3082" s="2" t="s">
        <v>7301</v>
      </c>
      <c r="B3082" s="2" t="s">
        <v>7302</v>
      </c>
      <c r="C3082" s="2" t="s">
        <v>26</v>
      </c>
      <c r="D3082" s="2" t="s">
        <v>27</v>
      </c>
      <c r="E3082" s="5">
        <v>-29703</v>
      </c>
      <c r="F3082" s="3" t="s">
        <v>294</v>
      </c>
      <c r="G3082" s="3" t="s">
        <v>29</v>
      </c>
      <c r="H3082" s="2" t="s">
        <v>36</v>
      </c>
      <c r="I3082" s="2" t="s">
        <v>7304</v>
      </c>
      <c r="J3082" s="3" t="str">
        <f>HYPERLINK("https://www.boe.es/gazeta/dias/1818/09/03/pdfs/GMD-1818-106.pdf#page=4","Abrir facsímil")</f>
        <v>Abrir facsímil</v>
      </c>
      <c r="K3082" s="3" t="s">
        <v>38</v>
      </c>
    </row>
    <row r="3083" spans="1:11" ht="42" customHeight="1">
      <c r="A3083" s="2" t="s">
        <v>7305</v>
      </c>
      <c r="B3083" s="2" t="s">
        <v>7306</v>
      </c>
      <c r="C3083" s="2" t="s">
        <v>57</v>
      </c>
      <c r="D3083" s="2" t="s">
        <v>18</v>
      </c>
      <c r="E3083" s="5">
        <v>-29708</v>
      </c>
      <c r="F3083" s="3" t="s">
        <v>413</v>
      </c>
      <c r="G3083" s="3" t="s">
        <v>45</v>
      </c>
      <c r="H3083" s="2" t="s">
        <v>36</v>
      </c>
      <c r="I3083" s="2" t="s">
        <v>7307</v>
      </c>
      <c r="J3083" s="3" t="str">
        <f>HYPERLINK("https://www.boe.es/gazeta/dias/1818/08/29/pdfs/GMD-1818-104.pdf#page=8","Abrir facsímil")</f>
        <v>Abrir facsímil</v>
      </c>
      <c r="K3083" s="3" t="s">
        <v>38</v>
      </c>
    </row>
    <row r="3084" spans="1:11" ht="42" customHeight="1">
      <c r="A3084" s="2" t="s">
        <v>7308</v>
      </c>
      <c r="B3084" s="2" t="s">
        <v>7309</v>
      </c>
      <c r="C3084" s="2" t="s">
        <v>57</v>
      </c>
      <c r="D3084" s="2" t="s">
        <v>18</v>
      </c>
      <c r="E3084" s="5">
        <v>-29584</v>
      </c>
      <c r="F3084" s="3" t="s">
        <v>1002</v>
      </c>
      <c r="G3084" s="3" t="s">
        <v>45</v>
      </c>
      <c r="H3084" s="2" t="s">
        <v>21</v>
      </c>
      <c r="I3084" s="2" t="s">
        <v>7310</v>
      </c>
      <c r="J3084" s="3" t="str">
        <f>HYPERLINK("https://www.boe.es/gazeta/dias/1818/12/31/pdfs/GMD-1818-159.pdf#page=8","Abrir facsímil")</f>
        <v>Abrir facsímil</v>
      </c>
      <c r="K3084" s="3" t="s">
        <v>23</v>
      </c>
    </row>
    <row r="3085" spans="1:11" ht="42" customHeight="1">
      <c r="A3085" s="2" t="s">
        <v>7311</v>
      </c>
      <c r="B3085" s="2" t="s">
        <v>7312</v>
      </c>
      <c r="C3085" s="2" t="s">
        <v>26</v>
      </c>
      <c r="D3085" s="2" t="s">
        <v>27</v>
      </c>
      <c r="E3085" s="5">
        <v>-29722</v>
      </c>
      <c r="F3085" s="3" t="s">
        <v>1127</v>
      </c>
      <c r="G3085" s="3" t="s">
        <v>20</v>
      </c>
      <c r="H3085" s="2" t="s">
        <v>21</v>
      </c>
      <c r="I3085" s="2" t="s">
        <v>7313</v>
      </c>
      <c r="J3085" s="3" t="str">
        <f>HYPERLINK("https://www.boe.es/gazeta/dias/1818/08/15/pdfs/GMD-1818-98.pdf#page=7","Abrir facsímil")</f>
        <v>Abrir facsímil</v>
      </c>
      <c r="K3085" s="3" t="s">
        <v>23</v>
      </c>
    </row>
    <row r="3086" spans="1:11" ht="42" customHeight="1">
      <c r="A3086" s="2" t="s">
        <v>7314</v>
      </c>
      <c r="B3086" s="2" t="s">
        <v>7315</v>
      </c>
      <c r="C3086" s="2" t="s">
        <v>26</v>
      </c>
      <c r="D3086" s="2" t="s">
        <v>27</v>
      </c>
      <c r="E3086" s="5">
        <v>-29934</v>
      </c>
      <c r="F3086" s="3" t="s">
        <v>53</v>
      </c>
      <c r="G3086" s="3" t="s">
        <v>59</v>
      </c>
      <c r="H3086" s="2" t="s">
        <v>21</v>
      </c>
      <c r="I3086" s="2" t="s">
        <v>7316</v>
      </c>
      <c r="J3086" s="3" t="str">
        <f>HYPERLINK("https://www.boe.es/gazeta/dias/1818/01/15/pdfs/GMD-1818-7.pdf#page=6","Abrir facsímil")</f>
        <v>Abrir facsímil</v>
      </c>
      <c r="K3086" s="3" t="s">
        <v>23</v>
      </c>
    </row>
    <row r="3087" spans="1:11" ht="42" customHeight="1">
      <c r="A3087" s="2" t="s">
        <v>7317</v>
      </c>
      <c r="B3087" s="2" t="s">
        <v>7318</v>
      </c>
      <c r="C3087" s="2" t="s">
        <v>57</v>
      </c>
      <c r="D3087" s="2" t="s">
        <v>18</v>
      </c>
      <c r="E3087" s="5">
        <v>-29901</v>
      </c>
      <c r="F3087" s="3" t="s">
        <v>417</v>
      </c>
      <c r="G3087" s="3" t="s">
        <v>116</v>
      </c>
      <c r="H3087" s="2" t="s">
        <v>21</v>
      </c>
      <c r="I3087" s="2" t="s">
        <v>7319</v>
      </c>
      <c r="J3087" s="3" t="str">
        <f>HYPERLINK("https://www.boe.es/gazeta/dias/1818/02/17/pdfs/GMD-1818-21.pdf#page=12","Abrir facsímil")</f>
        <v>Abrir facsímil</v>
      </c>
      <c r="K3087" s="3" t="s">
        <v>23</v>
      </c>
    </row>
    <row r="3088" spans="1:11" ht="42" customHeight="1">
      <c r="A3088" s="2" t="s">
        <v>7320</v>
      </c>
      <c r="B3088" s="2" t="s">
        <v>7321</v>
      </c>
      <c r="C3088" s="2" t="s">
        <v>26</v>
      </c>
      <c r="D3088" s="2" t="s">
        <v>27</v>
      </c>
      <c r="E3088" s="5">
        <v>-29647</v>
      </c>
      <c r="F3088" s="3" t="s">
        <v>1547</v>
      </c>
      <c r="G3088" s="3" t="s">
        <v>45</v>
      </c>
      <c r="H3088" s="2" t="s">
        <v>36</v>
      </c>
      <c r="I3088" s="2" t="s">
        <v>7322</v>
      </c>
      <c r="J3088" s="3" t="str">
        <f>HYPERLINK("https://www.boe.es/gazeta/dias/1818/10/29/pdfs/GMD-1818-131.pdf#page=8","Abrir facsímil")</f>
        <v>Abrir facsímil</v>
      </c>
      <c r="K3088" s="3" t="s">
        <v>38</v>
      </c>
    </row>
    <row r="3089" spans="1:11" ht="42" customHeight="1">
      <c r="A3089" s="2" t="s">
        <v>7323</v>
      </c>
      <c r="B3089" s="2" t="s">
        <v>7324</v>
      </c>
      <c r="C3089" s="2" t="s">
        <v>26</v>
      </c>
      <c r="D3089" s="2" t="s">
        <v>27</v>
      </c>
      <c r="E3089" s="5">
        <v>-29694</v>
      </c>
      <c r="F3089" s="3" t="s">
        <v>528</v>
      </c>
      <c r="G3089" s="3" t="s">
        <v>20</v>
      </c>
      <c r="H3089" s="2" t="s">
        <v>36</v>
      </c>
      <c r="I3089" s="2" t="s">
        <v>7325</v>
      </c>
      <c r="J3089" s="3" t="str">
        <f>HYPERLINK("https://www.boe.es/gazeta/dias/1818/09/12/pdfs/GMD-1818-110.pdf#page=7","Abrir facsímil")</f>
        <v>Abrir facsímil</v>
      </c>
      <c r="K3089" s="3" t="s">
        <v>38</v>
      </c>
    </row>
    <row r="3090" spans="1:11" ht="42" customHeight="1">
      <c r="A3090" s="2" t="s">
        <v>7326</v>
      </c>
      <c r="B3090" s="2" t="s">
        <v>7327</v>
      </c>
      <c r="C3090" s="2" t="s">
        <v>26</v>
      </c>
      <c r="D3090" s="2" t="s">
        <v>27</v>
      </c>
      <c r="E3090" s="5">
        <v>-29915</v>
      </c>
      <c r="F3090" s="3" t="s">
        <v>429</v>
      </c>
      <c r="G3090" s="3" t="s">
        <v>1142</v>
      </c>
      <c r="H3090" s="2" t="s">
        <v>36</v>
      </c>
      <c r="I3090" s="2" t="s">
        <v>7328</v>
      </c>
      <c r="J3090" s="3" t="str">
        <f>HYPERLINK("https://www.boe.es/gazeta/dias/1818/02/03/pdfs/GMD-1818-15.pdf#page=6","Abrir facsímil")</f>
        <v>Abrir facsímil</v>
      </c>
      <c r="K3090" s="3" t="s">
        <v>38</v>
      </c>
    </row>
    <row r="3091" spans="1:11" ht="42" customHeight="1">
      <c r="A3091" s="2" t="s">
        <v>7329</v>
      </c>
      <c r="B3091" s="2" t="s">
        <v>7330</v>
      </c>
      <c r="C3091" s="2" t="s">
        <v>17</v>
      </c>
      <c r="D3091" s="2" t="s">
        <v>18</v>
      </c>
      <c r="E3091" s="5">
        <v>-29733</v>
      </c>
      <c r="F3091" s="3" t="s">
        <v>482</v>
      </c>
      <c r="G3091" s="3" t="s">
        <v>116</v>
      </c>
      <c r="H3091" s="2" t="s">
        <v>36</v>
      </c>
      <c r="I3091" s="2" t="s">
        <v>7331</v>
      </c>
      <c r="J3091" s="3" t="str">
        <f>HYPERLINK("https://www.boe.es/gazeta/dias/1818/08/04/pdfs/GMD-1818-93.pdf#page=12","Abrir facsímil")</f>
        <v>Abrir facsímil</v>
      </c>
      <c r="K3091" s="3" t="s">
        <v>38</v>
      </c>
    </row>
    <row r="3092" spans="1:11" ht="42" customHeight="1">
      <c r="A3092" s="2" t="s">
        <v>7332</v>
      </c>
      <c r="B3092" s="2" t="s">
        <v>7333</v>
      </c>
      <c r="C3092" s="2" t="s">
        <v>26</v>
      </c>
      <c r="D3092" s="2" t="s">
        <v>27</v>
      </c>
      <c r="E3092" s="5">
        <v>-29733</v>
      </c>
      <c r="F3092" s="3" t="s">
        <v>482</v>
      </c>
      <c r="G3092" s="3" t="s">
        <v>85</v>
      </c>
      <c r="H3092" s="2" t="s">
        <v>36</v>
      </c>
      <c r="I3092" s="2" t="s">
        <v>7334</v>
      </c>
      <c r="J3092" s="3" t="str">
        <f>HYPERLINK("https://www.boe.es/gazeta/dias/1818/08/04/pdfs/GMD-1818-93.pdf#page=3","Abrir facsímil")</f>
        <v>Abrir facsímil</v>
      </c>
      <c r="K3092" s="3" t="s">
        <v>38</v>
      </c>
    </row>
    <row r="3093" spans="1:11" ht="42" customHeight="1">
      <c r="A3093" s="2" t="s">
        <v>7335</v>
      </c>
      <c r="B3093" s="2" t="s">
        <v>7336</v>
      </c>
      <c r="C3093" s="2" t="s">
        <v>26</v>
      </c>
      <c r="D3093" s="2" t="s">
        <v>27</v>
      </c>
      <c r="E3093" s="5">
        <v>-29586</v>
      </c>
      <c r="F3093" s="3" t="s">
        <v>683</v>
      </c>
      <c r="G3093" s="3" t="s">
        <v>59</v>
      </c>
      <c r="H3093" s="2" t="s">
        <v>21</v>
      </c>
      <c r="I3093" s="2" t="s">
        <v>7337</v>
      </c>
      <c r="J3093" s="3" t="str">
        <f>HYPERLINK("https://www.boe.es/gazeta/dias/1818/12/29/pdfs/GMD-1818-158.pdf#page=6","Abrir facsímil")</f>
        <v>Abrir facsímil</v>
      </c>
      <c r="K3093" s="3" t="s">
        <v>23</v>
      </c>
    </row>
    <row r="3094" spans="1:11" ht="42" customHeight="1">
      <c r="A3094" s="2" t="s">
        <v>7338</v>
      </c>
      <c r="B3094" s="2" t="s">
        <v>7338</v>
      </c>
      <c r="C3094" s="2" t="s">
        <v>26</v>
      </c>
      <c r="D3094" s="2" t="s">
        <v>27</v>
      </c>
      <c r="E3094" s="5">
        <v>-29948</v>
      </c>
      <c r="F3094" s="3" t="s">
        <v>199</v>
      </c>
      <c r="G3094" s="3" t="s">
        <v>106</v>
      </c>
      <c r="H3094" s="2" t="s">
        <v>36</v>
      </c>
      <c r="I3094" s="2" t="s">
        <v>7339</v>
      </c>
      <c r="J3094" s="3" t="str">
        <f>HYPERLINK("https://www.boe.es/gazeta/dias/1818/01/01/pdfs/GMD-1818-1.pdf#page=5","Abrir facsímil")</f>
        <v>Abrir facsímil</v>
      </c>
      <c r="K3094" s="3" t="s">
        <v>38</v>
      </c>
    </row>
    <row r="3095" spans="1:11" ht="42" customHeight="1">
      <c r="A3095" s="2" t="s">
        <v>7340</v>
      </c>
      <c r="B3095" s="2" t="s">
        <v>7341</v>
      </c>
      <c r="C3095" s="2" t="s">
        <v>26</v>
      </c>
      <c r="D3095" s="2" t="s">
        <v>27</v>
      </c>
      <c r="E3095" s="5">
        <v>-29626</v>
      </c>
      <c r="F3095" s="3" t="s">
        <v>496</v>
      </c>
      <c r="G3095" s="3" t="s">
        <v>59</v>
      </c>
      <c r="H3095" s="2" t="s">
        <v>36</v>
      </c>
      <c r="I3095" s="2" t="s">
        <v>7342</v>
      </c>
      <c r="J3095" s="3" t="str">
        <f>HYPERLINK("https://www.boe.es/gazeta/dias/1818/11/19/pdfs/GMD-1818-140.pdf#page=6","Abrir facsímil")</f>
        <v>Abrir facsímil</v>
      </c>
      <c r="K3095" s="3" t="s">
        <v>38</v>
      </c>
    </row>
    <row r="3096" spans="1:11" ht="42" customHeight="1">
      <c r="A3096" s="2" t="s">
        <v>7343</v>
      </c>
      <c r="B3096" s="2" t="s">
        <v>7344</v>
      </c>
      <c r="C3096" s="2" t="s">
        <v>26</v>
      </c>
      <c r="D3096" s="2" t="s">
        <v>27</v>
      </c>
      <c r="E3096" s="5">
        <v>-29703</v>
      </c>
      <c r="F3096" s="3" t="s">
        <v>294</v>
      </c>
      <c r="G3096" s="3" t="s">
        <v>295</v>
      </c>
      <c r="H3096" s="2" t="s">
        <v>36</v>
      </c>
      <c r="I3096" s="2" t="s">
        <v>7345</v>
      </c>
      <c r="J3096" s="3" t="str">
        <f>HYPERLINK("https://www.boe.es/gazeta/dias/1818/09/03/pdfs/GMD-1818-106.pdf#page=5","Abrir facsímil")</f>
        <v>Abrir facsímil</v>
      </c>
      <c r="K3096" s="3" t="s">
        <v>38</v>
      </c>
    </row>
    <row r="3097" spans="1:11" ht="42" customHeight="1">
      <c r="A3097" s="2" t="s">
        <v>7346</v>
      </c>
      <c r="B3097" s="2" t="s">
        <v>7347</v>
      </c>
      <c r="C3097" s="2" t="s">
        <v>26</v>
      </c>
      <c r="D3097" s="2" t="s">
        <v>27</v>
      </c>
      <c r="E3097" s="5">
        <v>-29605</v>
      </c>
      <c r="F3097" s="3" t="s">
        <v>888</v>
      </c>
      <c r="G3097" s="3" t="s">
        <v>106</v>
      </c>
      <c r="H3097" s="2" t="s">
        <v>36</v>
      </c>
      <c r="I3097" s="2" t="s">
        <v>7348</v>
      </c>
      <c r="J3097" s="3" t="str">
        <f>HYPERLINK("https://www.boe.es/gazeta/dias/1818/12/10/pdfs/GMD-1818-149.pdf#page=5","Abrir facsímil")</f>
        <v>Abrir facsímil</v>
      </c>
      <c r="K3097" s="3" t="s">
        <v>38</v>
      </c>
    </row>
    <row r="3098" spans="1:11" ht="42" customHeight="1">
      <c r="A3098" s="2" t="s">
        <v>7349</v>
      </c>
      <c r="B3098" s="2" t="s">
        <v>7350</v>
      </c>
      <c r="C3098" s="2" t="s">
        <v>26</v>
      </c>
      <c r="D3098" s="2" t="s">
        <v>27</v>
      </c>
      <c r="E3098" s="5">
        <v>-29703</v>
      </c>
      <c r="F3098" s="3" t="s">
        <v>294</v>
      </c>
      <c r="G3098" s="3" t="s">
        <v>295</v>
      </c>
      <c r="H3098" s="2" t="s">
        <v>36</v>
      </c>
      <c r="I3098" s="2" t="s">
        <v>7351</v>
      </c>
      <c r="J3098" s="3" t="str">
        <f>HYPERLINK("https://www.boe.es/gazeta/dias/1818/09/03/pdfs/GMD-1818-106.pdf#page=5","Abrir facsímil")</f>
        <v>Abrir facsímil</v>
      </c>
      <c r="K3098" s="3" t="s">
        <v>38</v>
      </c>
    </row>
    <row r="3099" spans="1:11" ht="42" customHeight="1">
      <c r="A3099" s="2" t="s">
        <v>7352</v>
      </c>
      <c r="B3099" s="2" t="s">
        <v>7353</v>
      </c>
      <c r="C3099" s="2" t="s">
        <v>68</v>
      </c>
      <c r="D3099" s="2" t="s">
        <v>69</v>
      </c>
      <c r="E3099" s="5">
        <v>-29761</v>
      </c>
      <c r="F3099" s="3" t="s">
        <v>168</v>
      </c>
      <c r="G3099" s="3" t="s">
        <v>1238</v>
      </c>
      <c r="H3099" s="2" t="s">
        <v>36</v>
      </c>
      <c r="I3099" s="2" t="s">
        <v>7354</v>
      </c>
      <c r="J3099" s="3" t="str">
        <f>HYPERLINK("https://www.boe.es/gazeta/dias/1818/07/07/pdfs/GMD-1818-81.pdf#page=8","Abrir facsímil")</f>
        <v>Abrir facsímil</v>
      </c>
      <c r="K3099" s="3" t="s">
        <v>38</v>
      </c>
    </row>
    <row r="3100" spans="1:11" ht="42" customHeight="1">
      <c r="A3100" s="2" t="s">
        <v>7355</v>
      </c>
      <c r="B3100" s="2" t="s">
        <v>7355</v>
      </c>
      <c r="C3100" s="2" t="s">
        <v>26</v>
      </c>
      <c r="D3100" s="2" t="s">
        <v>27</v>
      </c>
      <c r="E3100" s="5">
        <v>-29673</v>
      </c>
      <c r="F3100" s="3" t="s">
        <v>1099</v>
      </c>
      <c r="G3100" s="3" t="s">
        <v>85</v>
      </c>
      <c r="H3100" s="2" t="s">
        <v>36</v>
      </c>
      <c r="I3100" s="2" t="s">
        <v>7356</v>
      </c>
      <c r="J3100" s="3" t="str">
        <f>HYPERLINK("https://www.boe.es/gazeta/dias/1818/10/03/pdfs/GMD-1818-119.pdf#page=3","Abrir facsímil")</f>
        <v>Abrir facsímil</v>
      </c>
      <c r="K3100" s="3" t="s">
        <v>38</v>
      </c>
    </row>
    <row r="3101" spans="1:11" ht="42" customHeight="1">
      <c r="A3101" s="2" t="s">
        <v>7357</v>
      </c>
      <c r="B3101" s="2" t="s">
        <v>7358</v>
      </c>
      <c r="C3101" s="2" t="s">
        <v>33</v>
      </c>
      <c r="D3101" s="2" t="s">
        <v>18</v>
      </c>
      <c r="E3101" s="5">
        <v>-29810</v>
      </c>
      <c r="F3101" s="3" t="s">
        <v>222</v>
      </c>
      <c r="G3101" s="3" t="s">
        <v>45</v>
      </c>
      <c r="H3101" s="2" t="s">
        <v>36</v>
      </c>
      <c r="I3101" s="2" t="s">
        <v>7359</v>
      </c>
      <c r="J3101" s="3" t="str">
        <f>HYPERLINK("https://www.boe.es/gazeta/dias/1818/05/19/pdfs/GMD-1818-60.pdf#page=8","Abrir facsímil")</f>
        <v>Abrir facsímil</v>
      </c>
      <c r="K3101" s="3" t="s">
        <v>38</v>
      </c>
    </row>
    <row r="3102" spans="1:11" ht="42" customHeight="1">
      <c r="A3102" s="2" t="s">
        <v>7360</v>
      </c>
      <c r="B3102" s="2" t="s">
        <v>7360</v>
      </c>
      <c r="C3102" s="2" t="s">
        <v>26</v>
      </c>
      <c r="D3102" s="2" t="s">
        <v>27</v>
      </c>
      <c r="E3102" s="5">
        <v>-29792</v>
      </c>
      <c r="F3102" s="3" t="s">
        <v>948</v>
      </c>
      <c r="G3102" s="3" t="s">
        <v>59</v>
      </c>
      <c r="H3102" s="2" t="s">
        <v>36</v>
      </c>
      <c r="I3102" s="2" t="s">
        <v>7361</v>
      </c>
      <c r="J3102" s="3" t="str">
        <f>HYPERLINK("https://www.boe.es/gazeta/dias/1818/06/06/pdfs/GMD-1818-68.pdf#page=6","Abrir facsímil")</f>
        <v>Abrir facsímil</v>
      </c>
      <c r="K3102" s="3" t="s">
        <v>38</v>
      </c>
    </row>
    <row r="3103" spans="1:11" ht="42" customHeight="1">
      <c r="A3103" s="2" t="s">
        <v>7362</v>
      </c>
      <c r="B3103" s="2" t="s">
        <v>7363</v>
      </c>
      <c r="C3103" s="2" t="s">
        <v>26</v>
      </c>
      <c r="D3103" s="2" t="s">
        <v>27</v>
      </c>
      <c r="E3103" s="5">
        <v>-29831</v>
      </c>
      <c r="F3103" s="3" t="s">
        <v>567</v>
      </c>
      <c r="G3103" s="3" t="s">
        <v>45</v>
      </c>
      <c r="H3103" s="2" t="s">
        <v>36</v>
      </c>
      <c r="I3103" s="2" t="s">
        <v>7364</v>
      </c>
      <c r="J3103" s="3" t="str">
        <f>HYPERLINK("https://www.boe.es/gazeta/dias/1818/04/28/pdfs/GMD-1818-51.pdf#page=8","Abrir facsímil")</f>
        <v>Abrir facsímil</v>
      </c>
      <c r="K3103" s="3" t="s">
        <v>38</v>
      </c>
    </row>
    <row r="3104" spans="1:11" ht="42" customHeight="1">
      <c r="A3104" s="2" t="s">
        <v>7365</v>
      </c>
      <c r="B3104" s="2" t="s">
        <v>7365</v>
      </c>
      <c r="C3104" s="2" t="s">
        <v>68</v>
      </c>
      <c r="D3104" s="2" t="s">
        <v>69</v>
      </c>
      <c r="E3104" s="5">
        <v>-29761</v>
      </c>
      <c r="F3104" s="3" t="s">
        <v>168</v>
      </c>
      <c r="G3104" s="3" t="s">
        <v>1238</v>
      </c>
      <c r="H3104" s="2" t="s">
        <v>36</v>
      </c>
      <c r="I3104" s="2" t="s">
        <v>7366</v>
      </c>
      <c r="J3104" s="3" t="str">
        <f>HYPERLINK("https://www.boe.es/gazeta/dias/1818/07/07/pdfs/GMD-1818-81.pdf#page=8","Abrir facsímil")</f>
        <v>Abrir facsímil</v>
      </c>
      <c r="K3104" s="3" t="s">
        <v>38</v>
      </c>
    </row>
    <row r="3105" spans="1:11" ht="42" customHeight="1">
      <c r="A3105" s="2" t="s">
        <v>7367</v>
      </c>
      <c r="B3105" s="2" t="s">
        <v>7368</v>
      </c>
      <c r="C3105" s="2" t="s">
        <v>26</v>
      </c>
      <c r="D3105" s="2" t="s">
        <v>27</v>
      </c>
      <c r="E3105" s="5">
        <v>-29936</v>
      </c>
      <c r="F3105" s="3" t="s">
        <v>398</v>
      </c>
      <c r="G3105" s="3" t="s">
        <v>45</v>
      </c>
      <c r="H3105" s="2" t="s">
        <v>36</v>
      </c>
      <c r="I3105" s="2" t="s">
        <v>7369</v>
      </c>
      <c r="J3105" s="3" t="str">
        <f>HYPERLINK("https://www.boe.es/gazeta/dias/1818/01/13/pdfs/GMD-1818-6.pdf#page=8","Abrir facsímil")</f>
        <v>Abrir facsímil</v>
      </c>
      <c r="K3105" s="3" t="s">
        <v>38</v>
      </c>
    </row>
    <row r="3106" spans="1:11" ht="42" customHeight="1">
      <c r="A3106" s="2" t="s">
        <v>7367</v>
      </c>
      <c r="B3106" s="2" t="s">
        <v>7368</v>
      </c>
      <c r="C3106" s="2" t="s">
        <v>26</v>
      </c>
      <c r="D3106" s="2" t="s">
        <v>27</v>
      </c>
      <c r="E3106" s="5">
        <v>-29918</v>
      </c>
      <c r="F3106" s="3" t="s">
        <v>89</v>
      </c>
      <c r="G3106" s="3" t="s">
        <v>116</v>
      </c>
      <c r="H3106" s="2" t="s">
        <v>36</v>
      </c>
      <c r="I3106" s="2" t="s">
        <v>7370</v>
      </c>
      <c r="J3106" s="3" t="str">
        <f>HYPERLINK("https://www.boe.es/gazeta/dias/1818/01/31/pdfs/GMD-1818-14.pdf#page=12","Abrir facsímil")</f>
        <v>Abrir facsímil</v>
      </c>
      <c r="K3106" s="3" t="s">
        <v>38</v>
      </c>
    </row>
    <row r="3107" spans="1:11" ht="42" customHeight="1">
      <c r="A3107" s="2" t="s">
        <v>7367</v>
      </c>
      <c r="B3107" s="2" t="s">
        <v>7368</v>
      </c>
      <c r="C3107" s="2" t="s">
        <v>26</v>
      </c>
      <c r="D3107" s="2" t="s">
        <v>27</v>
      </c>
      <c r="E3107" s="5">
        <v>-29771</v>
      </c>
      <c r="F3107" s="3" t="s">
        <v>1260</v>
      </c>
      <c r="G3107" s="3" t="s">
        <v>45</v>
      </c>
      <c r="H3107" s="2" t="s">
        <v>36</v>
      </c>
      <c r="I3107" s="2" t="s">
        <v>7371</v>
      </c>
      <c r="J3107" s="3" t="str">
        <f>HYPERLINK("https://www.boe.es/gazeta/dias/1818/06/27/pdfs/GMD-1818-77.pdf#page=8","Abrir facsímil")</f>
        <v>Abrir facsímil</v>
      </c>
      <c r="K3107" s="3" t="s">
        <v>38</v>
      </c>
    </row>
    <row r="3108" spans="1:11" ht="42" customHeight="1">
      <c r="A3108" s="2" t="s">
        <v>7367</v>
      </c>
      <c r="B3108" s="2" t="s">
        <v>7368</v>
      </c>
      <c r="C3108" s="2" t="s">
        <v>26</v>
      </c>
      <c r="D3108" s="2" t="s">
        <v>27</v>
      </c>
      <c r="E3108" s="5">
        <v>-29761</v>
      </c>
      <c r="F3108" s="3" t="s">
        <v>168</v>
      </c>
      <c r="G3108" s="3" t="s">
        <v>1238</v>
      </c>
      <c r="H3108" s="2" t="s">
        <v>36</v>
      </c>
      <c r="I3108" s="2" t="s">
        <v>7372</v>
      </c>
      <c r="J3108" s="3" t="str">
        <f>HYPERLINK("https://www.boe.es/gazeta/dias/1818/07/07/pdfs/GMD-1818-81.pdf#page=8","Abrir facsímil")</f>
        <v>Abrir facsímil</v>
      </c>
      <c r="K3108" s="3" t="s">
        <v>38</v>
      </c>
    </row>
    <row r="3109" spans="1:11" ht="42" customHeight="1">
      <c r="A3109" s="2" t="s">
        <v>7373</v>
      </c>
      <c r="B3109" s="2" t="s">
        <v>7374</v>
      </c>
      <c r="C3109" s="2" t="s">
        <v>17</v>
      </c>
      <c r="D3109" s="2" t="s">
        <v>18</v>
      </c>
      <c r="E3109" s="5">
        <v>-29698</v>
      </c>
      <c r="F3109" s="3" t="s">
        <v>148</v>
      </c>
      <c r="G3109" s="3" t="s">
        <v>59</v>
      </c>
      <c r="H3109" s="2" t="s">
        <v>36</v>
      </c>
      <c r="I3109" s="2" t="s">
        <v>7375</v>
      </c>
      <c r="J3109" s="3" t="str">
        <f>HYPERLINK("https://www.boe.es/gazeta/dias/1818/09/08/pdfs/GMD-1818-108.pdf#page=6","Abrir facsímil")</f>
        <v>Abrir facsímil</v>
      </c>
      <c r="K3109" s="3" t="s">
        <v>38</v>
      </c>
    </row>
    <row r="3110" spans="1:11" ht="42" customHeight="1">
      <c r="A3110" s="2" t="s">
        <v>7376</v>
      </c>
      <c r="B3110" s="2" t="s">
        <v>7377</v>
      </c>
      <c r="C3110" s="2" t="s">
        <v>26</v>
      </c>
      <c r="D3110" s="2" t="s">
        <v>27</v>
      </c>
      <c r="E3110" s="5">
        <v>-29647</v>
      </c>
      <c r="F3110" s="3" t="s">
        <v>1547</v>
      </c>
      <c r="G3110" s="3" t="s">
        <v>45</v>
      </c>
      <c r="H3110" s="2" t="s">
        <v>36</v>
      </c>
      <c r="I3110" s="2" t="s">
        <v>7378</v>
      </c>
      <c r="J3110" s="3" t="str">
        <f>HYPERLINK("https://www.boe.es/gazeta/dias/1818/10/29/pdfs/GMD-1818-131.pdf#page=8","Abrir facsímil")</f>
        <v>Abrir facsímil</v>
      </c>
      <c r="K3110" s="3" t="s">
        <v>38</v>
      </c>
    </row>
    <row r="3111" spans="1:11" ht="42" customHeight="1">
      <c r="A3111" s="2" t="s">
        <v>7379</v>
      </c>
      <c r="B3111" s="2" t="s">
        <v>7379</v>
      </c>
      <c r="C3111" s="2" t="s">
        <v>57</v>
      </c>
      <c r="D3111" s="2" t="s">
        <v>18</v>
      </c>
      <c r="E3111" s="5">
        <v>-29869</v>
      </c>
      <c r="F3111" s="3" t="s">
        <v>140</v>
      </c>
      <c r="G3111" s="3" t="s">
        <v>120</v>
      </c>
      <c r="H3111" s="2" t="s">
        <v>36</v>
      </c>
      <c r="I3111" s="2" t="s">
        <v>7380</v>
      </c>
      <c r="J3111" s="3" t="str">
        <f>HYPERLINK("https://www.boe.es/gazeta/dias/1818/03/21/pdfs/GMD-1818-35.pdf#page=2","Abrir facsímil")</f>
        <v>Abrir facsímil</v>
      </c>
      <c r="K3111" s="3" t="s">
        <v>38</v>
      </c>
    </row>
    <row r="3112" spans="1:11" ht="42" customHeight="1">
      <c r="A3112" s="2" t="s">
        <v>7381</v>
      </c>
      <c r="B3112" s="2" t="s">
        <v>7382</v>
      </c>
      <c r="C3112" s="2" t="s">
        <v>26</v>
      </c>
      <c r="D3112" s="2" t="s">
        <v>27</v>
      </c>
      <c r="E3112" s="5">
        <v>-29731</v>
      </c>
      <c r="F3112" s="3" t="s">
        <v>299</v>
      </c>
      <c r="G3112" s="3" t="s">
        <v>45</v>
      </c>
      <c r="H3112" s="2" t="s">
        <v>36</v>
      </c>
      <c r="I3112" s="2" t="s">
        <v>7383</v>
      </c>
      <c r="J3112" s="3" t="str">
        <f>HYPERLINK("https://www.boe.es/gazeta/dias/1818/08/06/pdfs/GMD-1818-94.pdf#page=8","Abrir facsímil")</f>
        <v>Abrir facsímil</v>
      </c>
      <c r="K3112" s="3" t="s">
        <v>38</v>
      </c>
    </row>
    <row r="3113" spans="1:11" ht="42" customHeight="1">
      <c r="A3113" s="2" t="s">
        <v>7384</v>
      </c>
      <c r="B3113" s="2" t="s">
        <v>7385</v>
      </c>
      <c r="C3113" s="2" t="s">
        <v>68</v>
      </c>
      <c r="D3113" s="2" t="s">
        <v>69</v>
      </c>
      <c r="E3113" s="5">
        <v>-29747</v>
      </c>
      <c r="F3113" s="3" t="s">
        <v>536</v>
      </c>
      <c r="G3113" s="3" t="s">
        <v>20</v>
      </c>
      <c r="H3113" s="2" t="s">
        <v>36</v>
      </c>
      <c r="I3113" s="2" t="s">
        <v>7386</v>
      </c>
      <c r="J3113" s="3" t="str">
        <f>HYPERLINK("https://www.boe.es/gazeta/dias/1818/07/21/pdfs/GMD-1818-87.pdf#page=7","Abrir facsímil")</f>
        <v>Abrir facsímil</v>
      </c>
      <c r="K3113" s="3" t="s">
        <v>38</v>
      </c>
    </row>
    <row r="3114" spans="1:11" ht="42" customHeight="1">
      <c r="A3114" s="2" t="s">
        <v>7387</v>
      </c>
      <c r="B3114" s="2" t="s">
        <v>7388</v>
      </c>
      <c r="C3114" s="2" t="s">
        <v>26</v>
      </c>
      <c r="D3114" s="2" t="s">
        <v>27</v>
      </c>
      <c r="E3114" s="5">
        <v>-29652</v>
      </c>
      <c r="F3114" s="3" t="s">
        <v>741</v>
      </c>
      <c r="G3114" s="3" t="s">
        <v>106</v>
      </c>
      <c r="H3114" s="2" t="s">
        <v>36</v>
      </c>
      <c r="I3114" s="2" t="s">
        <v>7389</v>
      </c>
      <c r="J3114" s="3" t="str">
        <f>HYPERLINK("https://www.boe.es/gazeta/dias/1818/10/24/pdfs/GMD-1818-129.pdf#page=5","Abrir facsímil")</f>
        <v>Abrir facsímil</v>
      </c>
      <c r="K3114" s="3" t="s">
        <v>38</v>
      </c>
    </row>
    <row r="3115" spans="1:11" ht="42" customHeight="1">
      <c r="A3115" s="2" t="s">
        <v>7390</v>
      </c>
      <c r="B3115" s="2" t="s">
        <v>7391</v>
      </c>
      <c r="C3115" s="2" t="s">
        <v>26</v>
      </c>
      <c r="D3115" s="2" t="s">
        <v>27</v>
      </c>
      <c r="E3115" s="5">
        <v>-29647</v>
      </c>
      <c r="F3115" s="3" t="s">
        <v>1547</v>
      </c>
      <c r="G3115" s="3" t="s">
        <v>45</v>
      </c>
      <c r="H3115" s="2" t="s">
        <v>21</v>
      </c>
      <c r="I3115" s="2" t="s">
        <v>7392</v>
      </c>
      <c r="J3115" s="3" t="str">
        <f>HYPERLINK("https://www.boe.es/gazeta/dias/1818/10/29/pdfs/GMD-1818-131.pdf#page=8","Abrir facsímil")</f>
        <v>Abrir facsímil</v>
      </c>
      <c r="K3115" s="3" t="s">
        <v>23</v>
      </c>
    </row>
    <row r="3116" spans="1:11" ht="42" customHeight="1">
      <c r="A3116" s="2" t="s">
        <v>7390</v>
      </c>
      <c r="B3116" s="2" t="s">
        <v>7391</v>
      </c>
      <c r="C3116" s="2" t="s">
        <v>68</v>
      </c>
      <c r="D3116" s="2" t="s">
        <v>69</v>
      </c>
      <c r="E3116" s="5">
        <v>-29593</v>
      </c>
      <c r="F3116" s="3" t="s">
        <v>185</v>
      </c>
      <c r="G3116" s="3" t="s">
        <v>20</v>
      </c>
      <c r="H3116" s="2" t="s">
        <v>21</v>
      </c>
      <c r="I3116" s="2" t="s">
        <v>7393</v>
      </c>
      <c r="J3116" s="3" t="str">
        <f>HYPERLINK("https://www.boe.es/gazeta/dias/1818/12/22/pdfs/GMD-1818-154.pdf#page=7","Abrir facsímil")</f>
        <v>Abrir facsímil</v>
      </c>
      <c r="K3116" s="3" t="s">
        <v>23</v>
      </c>
    </row>
    <row r="3117" spans="1:11" ht="42" customHeight="1">
      <c r="A3117" s="2" t="s">
        <v>7394</v>
      </c>
      <c r="B3117" s="2" t="s">
        <v>7395</v>
      </c>
      <c r="C3117" s="2" t="s">
        <v>17</v>
      </c>
      <c r="D3117" s="2" t="s">
        <v>18</v>
      </c>
      <c r="E3117" s="5">
        <v>-29752</v>
      </c>
      <c r="F3117" s="3" t="s">
        <v>165</v>
      </c>
      <c r="G3117" s="3" t="s">
        <v>59</v>
      </c>
      <c r="H3117" s="2" t="s">
        <v>36</v>
      </c>
      <c r="I3117" s="2" t="s">
        <v>7396</v>
      </c>
      <c r="J3117" s="3" t="str">
        <f>HYPERLINK("https://www.boe.es/gazeta/dias/1818/07/16/pdfs/GMD-1818-85.pdf#page=6","Abrir facsímil")</f>
        <v>Abrir facsímil</v>
      </c>
      <c r="K3117" s="3" t="s">
        <v>38</v>
      </c>
    </row>
    <row r="3118" spans="1:11" ht="42" customHeight="1">
      <c r="A3118" s="2" t="s">
        <v>7397</v>
      </c>
      <c r="B3118" s="2" t="s">
        <v>7398</v>
      </c>
      <c r="C3118" s="2" t="s">
        <v>26</v>
      </c>
      <c r="D3118" s="2" t="s">
        <v>27</v>
      </c>
      <c r="E3118" s="5">
        <v>-29694</v>
      </c>
      <c r="F3118" s="3" t="s">
        <v>528</v>
      </c>
      <c r="G3118" s="3" t="s">
        <v>20</v>
      </c>
      <c r="H3118" s="2" t="s">
        <v>36</v>
      </c>
      <c r="I3118" s="2" t="s">
        <v>7399</v>
      </c>
      <c r="J3118" s="3" t="str">
        <f>HYPERLINK("https://www.boe.es/gazeta/dias/1818/09/12/pdfs/GMD-1818-110.pdf#page=7","Abrir facsímil")</f>
        <v>Abrir facsímil</v>
      </c>
      <c r="K3118" s="3" t="s">
        <v>38</v>
      </c>
    </row>
    <row r="3119" spans="1:11" ht="42" customHeight="1">
      <c r="A3119" s="2" t="s">
        <v>7400</v>
      </c>
      <c r="B3119" s="2" t="s">
        <v>7401</v>
      </c>
      <c r="C3119" s="2" t="s">
        <v>68</v>
      </c>
      <c r="D3119" s="2" t="s">
        <v>69</v>
      </c>
      <c r="E3119" s="5">
        <v>-29757</v>
      </c>
      <c r="F3119" s="3" t="s">
        <v>115</v>
      </c>
      <c r="G3119" s="3" t="s">
        <v>20</v>
      </c>
      <c r="H3119" s="2" t="s">
        <v>36</v>
      </c>
      <c r="I3119" s="2" t="s">
        <v>7402</v>
      </c>
      <c r="J3119" s="3" t="str">
        <f>HYPERLINK("https://www.boe.es/gazeta/dias/1818/07/11/pdfs/GMD-1818-83.pdf#page=7","Abrir facsímil")</f>
        <v>Abrir facsímil</v>
      </c>
      <c r="K3119" s="3" t="s">
        <v>38</v>
      </c>
    </row>
    <row r="3120" spans="1:11" ht="42" customHeight="1">
      <c r="A3120" s="2" t="s">
        <v>7403</v>
      </c>
      <c r="B3120" s="2" t="s">
        <v>7404</v>
      </c>
      <c r="C3120" s="2" t="s">
        <v>68</v>
      </c>
      <c r="D3120" s="2" t="s">
        <v>69</v>
      </c>
      <c r="E3120" s="5">
        <v>-29684</v>
      </c>
      <c r="F3120" s="3" t="s">
        <v>311</v>
      </c>
      <c r="G3120" s="3" t="s">
        <v>45</v>
      </c>
      <c r="H3120" s="2" t="s">
        <v>36</v>
      </c>
      <c r="I3120" s="2" t="s">
        <v>7405</v>
      </c>
      <c r="J3120" s="3" t="str">
        <f>HYPERLINK("https://www.boe.es/gazeta/dias/1818/09/22/pdfs/GMD-1818-114.pdf#page=8","Abrir facsímil")</f>
        <v>Abrir facsímil</v>
      </c>
      <c r="K3120" s="3" t="s">
        <v>38</v>
      </c>
    </row>
    <row r="3121" spans="1:11" ht="42" customHeight="1">
      <c r="A3121" s="2" t="s">
        <v>7403</v>
      </c>
      <c r="B3121" s="2" t="s">
        <v>7404</v>
      </c>
      <c r="C3121" s="2" t="s">
        <v>68</v>
      </c>
      <c r="D3121" s="2" t="s">
        <v>69</v>
      </c>
      <c r="E3121" s="5">
        <v>-29675</v>
      </c>
      <c r="F3121" s="3" t="s">
        <v>2314</v>
      </c>
      <c r="G3121" s="3" t="s">
        <v>45</v>
      </c>
      <c r="H3121" s="2" t="s">
        <v>36</v>
      </c>
      <c r="I3121" s="2" t="s">
        <v>7406</v>
      </c>
      <c r="J3121" s="3" t="str">
        <f>HYPERLINK("https://www.boe.es/gazeta/dias/1818/10/01/pdfs/GMD-1818-118.pdf#page=8","Abrir facsímil")</f>
        <v>Abrir facsímil</v>
      </c>
      <c r="K3121" s="3" t="s">
        <v>38</v>
      </c>
    </row>
    <row r="3122" spans="1:11" ht="42" customHeight="1">
      <c r="A3122" s="2" t="s">
        <v>7407</v>
      </c>
      <c r="B3122" s="2" t="s">
        <v>7408</v>
      </c>
      <c r="C3122" s="2" t="s">
        <v>17</v>
      </c>
      <c r="D3122" s="2" t="s">
        <v>18</v>
      </c>
      <c r="E3122" s="5">
        <v>-29673</v>
      </c>
      <c r="F3122" s="3" t="s">
        <v>1099</v>
      </c>
      <c r="G3122" s="3" t="s">
        <v>59</v>
      </c>
      <c r="H3122" s="2" t="s">
        <v>36</v>
      </c>
      <c r="I3122" s="2" t="s">
        <v>7409</v>
      </c>
      <c r="J3122" s="3" t="str">
        <f>HYPERLINK("https://www.boe.es/gazeta/dias/1818/10/03/pdfs/GMD-1818-119.pdf#page=6","Abrir facsímil")</f>
        <v>Abrir facsímil</v>
      </c>
      <c r="K3122" s="3" t="s">
        <v>38</v>
      </c>
    </row>
    <row r="3123" spans="1:11" ht="42" customHeight="1">
      <c r="A3123" s="2" t="s">
        <v>7410</v>
      </c>
      <c r="B3123" s="2" t="s">
        <v>7411</v>
      </c>
      <c r="C3123" s="2" t="s">
        <v>63</v>
      </c>
      <c r="D3123" s="2" t="s">
        <v>18</v>
      </c>
      <c r="E3123" s="5">
        <v>-29869</v>
      </c>
      <c r="F3123" s="3" t="s">
        <v>140</v>
      </c>
      <c r="G3123" s="3" t="s">
        <v>45</v>
      </c>
      <c r="H3123" s="2" t="s">
        <v>36</v>
      </c>
      <c r="I3123" s="2" t="s">
        <v>7412</v>
      </c>
      <c r="J3123" s="3" t="str">
        <f>HYPERLINK("https://www.boe.es/gazeta/dias/1818/03/21/pdfs/GMD-1818-35.pdf#page=8","Abrir facsímil")</f>
        <v>Abrir facsímil</v>
      </c>
      <c r="K3123" s="3" t="s">
        <v>38</v>
      </c>
    </row>
    <row r="3124" spans="1:11" ht="42" customHeight="1">
      <c r="A3124" s="2" t="s">
        <v>7413</v>
      </c>
      <c r="B3124" s="2" t="s">
        <v>7414</v>
      </c>
      <c r="C3124" s="2" t="s">
        <v>63</v>
      </c>
      <c r="D3124" s="2" t="s">
        <v>18</v>
      </c>
      <c r="E3124" s="5">
        <v>-29829</v>
      </c>
      <c r="F3124" s="3" t="s">
        <v>44</v>
      </c>
      <c r="G3124" s="3" t="s">
        <v>45</v>
      </c>
      <c r="H3124" s="2" t="s">
        <v>36</v>
      </c>
      <c r="I3124" s="2" t="s">
        <v>7415</v>
      </c>
      <c r="J3124" s="3" t="str">
        <f>HYPERLINK("https://www.boe.es/gazeta/dias/1818/04/30/pdfs/GMD-1818-52.pdf#page=8","Abrir facsímil")</f>
        <v>Abrir facsímil</v>
      </c>
      <c r="K3124" s="3" t="s">
        <v>38</v>
      </c>
    </row>
    <row r="3125" spans="1:11" ht="42" customHeight="1">
      <c r="A3125" s="2" t="s">
        <v>7416</v>
      </c>
      <c r="B3125" s="2" t="s">
        <v>7417</v>
      </c>
      <c r="C3125" s="2" t="s">
        <v>26</v>
      </c>
      <c r="D3125" s="2" t="s">
        <v>27</v>
      </c>
      <c r="E3125" s="5">
        <v>-29843</v>
      </c>
      <c r="F3125" s="3" t="s">
        <v>182</v>
      </c>
      <c r="G3125" s="3" t="s">
        <v>59</v>
      </c>
      <c r="H3125" s="2" t="s">
        <v>36</v>
      </c>
      <c r="I3125" s="2" t="s">
        <v>7418</v>
      </c>
      <c r="J3125" s="3" t="str">
        <f>HYPERLINK("https://www.boe.es/gazeta/dias/1818/04/16/pdfs/GMD-1818-46.pdf#page=6","Abrir facsímil")</f>
        <v>Abrir facsímil</v>
      </c>
      <c r="K3125" s="3" t="s">
        <v>38</v>
      </c>
    </row>
    <row r="3126" spans="1:11" ht="42" customHeight="1">
      <c r="A3126" s="2" t="s">
        <v>7419</v>
      </c>
      <c r="B3126" s="2" t="s">
        <v>7420</v>
      </c>
      <c r="C3126" s="2" t="s">
        <v>17</v>
      </c>
      <c r="D3126" s="2" t="s">
        <v>18</v>
      </c>
      <c r="E3126" s="5">
        <v>-29635</v>
      </c>
      <c r="F3126" s="3" t="s">
        <v>560</v>
      </c>
      <c r="G3126" s="3" t="s">
        <v>20</v>
      </c>
      <c r="H3126" s="2" t="s">
        <v>36</v>
      </c>
      <c r="I3126" s="2" t="s">
        <v>7421</v>
      </c>
      <c r="J3126" s="3" t="str">
        <f>HYPERLINK("https://www.boe.es/gazeta/dias/1818/11/10/pdfs/GMD-1818-136.pdf#page=7","Abrir facsímil")</f>
        <v>Abrir facsímil</v>
      </c>
      <c r="K3126" s="3" t="s">
        <v>38</v>
      </c>
    </row>
    <row r="3127" spans="1:11" ht="42" customHeight="1">
      <c r="A3127" s="2" t="s">
        <v>7422</v>
      </c>
      <c r="B3127" s="2" t="s">
        <v>7423</v>
      </c>
      <c r="C3127" s="2" t="s">
        <v>26</v>
      </c>
      <c r="D3127" s="2" t="s">
        <v>27</v>
      </c>
      <c r="E3127" s="5">
        <v>-29722</v>
      </c>
      <c r="F3127" s="3" t="s">
        <v>1127</v>
      </c>
      <c r="G3127" s="3" t="s">
        <v>106</v>
      </c>
      <c r="H3127" s="2" t="s">
        <v>36</v>
      </c>
      <c r="I3127" s="2" t="s">
        <v>7424</v>
      </c>
      <c r="J3127" s="3" t="str">
        <f>HYPERLINK("https://www.boe.es/gazeta/dias/1818/08/15/pdfs/GMD-1818-98.pdf#page=5","Abrir facsímil")</f>
        <v>Abrir facsímil</v>
      </c>
      <c r="K3127" s="3" t="s">
        <v>38</v>
      </c>
    </row>
    <row r="3128" spans="1:11" ht="42" customHeight="1">
      <c r="A3128" s="2" t="s">
        <v>7425</v>
      </c>
      <c r="B3128" s="2" t="s">
        <v>7426</v>
      </c>
      <c r="C3128" s="2" t="s">
        <v>26</v>
      </c>
      <c r="D3128" s="2" t="s">
        <v>27</v>
      </c>
      <c r="E3128" s="5">
        <v>-29764</v>
      </c>
      <c r="F3128" s="3" t="s">
        <v>464</v>
      </c>
      <c r="G3128" s="3" t="s">
        <v>45</v>
      </c>
      <c r="H3128" s="2" t="s">
        <v>36</v>
      </c>
      <c r="I3128" s="2" t="s">
        <v>7427</v>
      </c>
      <c r="J3128" s="3" t="str">
        <f>HYPERLINK("https://www.boe.es/gazeta/dias/1818/07/04/pdfs/GMD-1818-80.pdf#page=8","Abrir facsímil")</f>
        <v>Abrir facsímil</v>
      </c>
      <c r="K3128" s="3" t="s">
        <v>38</v>
      </c>
    </row>
    <row r="3129" spans="1:11" ht="42" customHeight="1">
      <c r="A3129" s="2" t="s">
        <v>7425</v>
      </c>
      <c r="B3129" s="2" t="s">
        <v>7426</v>
      </c>
      <c r="C3129" s="2" t="s">
        <v>17</v>
      </c>
      <c r="D3129" s="2" t="s">
        <v>18</v>
      </c>
      <c r="E3129" s="5">
        <v>-29733</v>
      </c>
      <c r="F3129" s="3" t="s">
        <v>482</v>
      </c>
      <c r="G3129" s="3" t="s">
        <v>116</v>
      </c>
      <c r="H3129" s="2" t="s">
        <v>36</v>
      </c>
      <c r="I3129" s="2" t="s">
        <v>7428</v>
      </c>
      <c r="J3129" s="3" t="str">
        <f>HYPERLINK("https://www.boe.es/gazeta/dias/1818/08/04/pdfs/GMD-1818-93.pdf#page=12","Abrir facsímil")</f>
        <v>Abrir facsímil</v>
      </c>
      <c r="K3129" s="3" t="s">
        <v>38</v>
      </c>
    </row>
    <row r="3130" spans="1:11" ht="42" customHeight="1">
      <c r="A3130" s="2" t="s">
        <v>7429</v>
      </c>
      <c r="B3130" s="2" t="s">
        <v>7430</v>
      </c>
      <c r="C3130" s="2" t="s">
        <v>68</v>
      </c>
      <c r="D3130" s="2" t="s">
        <v>69</v>
      </c>
      <c r="E3130" s="5">
        <v>-29806</v>
      </c>
      <c r="F3130" s="3" t="s">
        <v>84</v>
      </c>
      <c r="G3130" s="3" t="s">
        <v>59</v>
      </c>
      <c r="H3130" s="2" t="s">
        <v>36</v>
      </c>
      <c r="I3130" s="2" t="s">
        <v>7431</v>
      </c>
      <c r="J3130" s="3" t="str">
        <f>HYPERLINK("https://www.boe.es/gazeta/dias/1818/05/23/pdfs/GMD-1818-62.pdf#page=6","Abrir facsímil")</f>
        <v>Abrir facsímil</v>
      </c>
      <c r="K3130" s="3" t="s">
        <v>38</v>
      </c>
    </row>
    <row r="3131" spans="1:11" ht="42" customHeight="1">
      <c r="A3131" s="2" t="s">
        <v>7432</v>
      </c>
      <c r="B3131" s="2" t="s">
        <v>7433</v>
      </c>
      <c r="C3131" s="2" t="s">
        <v>97</v>
      </c>
      <c r="D3131" s="2" t="s">
        <v>18</v>
      </c>
      <c r="E3131" s="5">
        <v>-29785</v>
      </c>
      <c r="F3131" s="3" t="s">
        <v>1031</v>
      </c>
      <c r="G3131" s="3" t="s">
        <v>45</v>
      </c>
      <c r="H3131" s="2" t="s">
        <v>36</v>
      </c>
      <c r="I3131" s="2" t="s">
        <v>7434</v>
      </c>
      <c r="J3131" s="3" t="str">
        <f>HYPERLINK("https://www.boe.es/gazeta/dias/1818/06/13/pdfs/GMD-1818-71.pdf#page=8","Abrir facsímil")</f>
        <v>Abrir facsímil</v>
      </c>
      <c r="K3131" s="3" t="s">
        <v>38</v>
      </c>
    </row>
    <row r="3132" spans="1:11" ht="42" customHeight="1">
      <c r="A3132" s="2" t="s">
        <v>7435</v>
      </c>
      <c r="B3132" s="2" t="s">
        <v>7436</v>
      </c>
      <c r="C3132" s="2" t="s">
        <v>63</v>
      </c>
      <c r="D3132" s="2" t="s">
        <v>18</v>
      </c>
      <c r="E3132" s="5">
        <v>-29722</v>
      </c>
      <c r="F3132" s="3" t="s">
        <v>1127</v>
      </c>
      <c r="G3132" s="3" t="s">
        <v>45</v>
      </c>
      <c r="H3132" s="2" t="s">
        <v>36</v>
      </c>
      <c r="I3132" s="2" t="s">
        <v>7437</v>
      </c>
      <c r="J3132" s="3" t="str">
        <f>HYPERLINK("https://www.boe.es/gazeta/dias/1818/08/15/pdfs/GMD-1818-98.pdf#page=8","Abrir facsímil")</f>
        <v>Abrir facsímil</v>
      </c>
      <c r="K3132" s="3" t="s">
        <v>38</v>
      </c>
    </row>
    <row r="3133" spans="1:11" ht="42" customHeight="1">
      <c r="A3133" s="2" t="s">
        <v>7438</v>
      </c>
      <c r="B3133" s="2" t="s">
        <v>7439</v>
      </c>
      <c r="C3133" s="2" t="s">
        <v>68</v>
      </c>
      <c r="D3133" s="2" t="s">
        <v>69</v>
      </c>
      <c r="E3133" s="5">
        <v>-29845</v>
      </c>
      <c r="F3133" s="3" t="s">
        <v>105</v>
      </c>
      <c r="G3133" s="3" t="s">
        <v>45</v>
      </c>
      <c r="H3133" s="2" t="s">
        <v>21</v>
      </c>
      <c r="I3133" s="2" t="s">
        <v>7440</v>
      </c>
      <c r="J3133" s="3" t="str">
        <f>HYPERLINK("https://www.boe.es/gazeta/dias/1818/04/14/pdfs/GMD-1818-45.pdf#page=8","Abrir facsímil")</f>
        <v>Abrir facsímil</v>
      </c>
      <c r="K3133" s="3" t="s">
        <v>23</v>
      </c>
    </row>
    <row r="3134" spans="1:11" ht="42" customHeight="1">
      <c r="A3134" s="2" t="s">
        <v>7441</v>
      </c>
      <c r="B3134" s="2" t="s">
        <v>7442</v>
      </c>
      <c r="C3134" s="2" t="s">
        <v>17</v>
      </c>
      <c r="D3134" s="2" t="s">
        <v>18</v>
      </c>
      <c r="E3134" s="5">
        <v>-29698</v>
      </c>
      <c r="F3134" s="3" t="s">
        <v>148</v>
      </c>
      <c r="G3134" s="3" t="s">
        <v>29</v>
      </c>
      <c r="H3134" s="2" t="s">
        <v>36</v>
      </c>
      <c r="I3134" s="2" t="s">
        <v>7443</v>
      </c>
      <c r="J3134" s="3" t="str">
        <f>HYPERLINK("https://www.boe.es/gazeta/dias/1818/09/08/pdfs/GMD-1818-108.pdf#page=4","Abrir facsímil")</f>
        <v>Abrir facsímil</v>
      </c>
      <c r="K3134" s="3" t="s">
        <v>38</v>
      </c>
    </row>
    <row r="3135" spans="1:11" ht="42" customHeight="1">
      <c r="A3135" s="2" t="s">
        <v>7444</v>
      </c>
      <c r="B3135" s="2" t="s">
        <v>7445</v>
      </c>
      <c r="C3135" s="2" t="s">
        <v>26</v>
      </c>
      <c r="D3135" s="2" t="s">
        <v>27</v>
      </c>
      <c r="E3135" s="5">
        <v>-29680</v>
      </c>
      <c r="F3135" s="3" t="s">
        <v>865</v>
      </c>
      <c r="G3135" s="3" t="s">
        <v>85</v>
      </c>
      <c r="H3135" s="2" t="s">
        <v>36</v>
      </c>
      <c r="I3135" s="2" t="s">
        <v>7446</v>
      </c>
      <c r="J3135" s="3" t="str">
        <f>HYPERLINK("https://www.boe.es/gazeta/dias/1818/09/26/pdfs/GMD-1818-116.pdf#page=3","Abrir facsímil")</f>
        <v>Abrir facsímil</v>
      </c>
      <c r="K3135" s="3" t="s">
        <v>38</v>
      </c>
    </row>
    <row r="3136" spans="1:11" ht="42" customHeight="1">
      <c r="A3136" s="2" t="s">
        <v>7447</v>
      </c>
      <c r="B3136" s="2" t="s">
        <v>7448</v>
      </c>
      <c r="C3136" s="2" t="s">
        <v>17</v>
      </c>
      <c r="D3136" s="2" t="s">
        <v>18</v>
      </c>
      <c r="E3136" s="5">
        <v>-29787</v>
      </c>
      <c r="F3136" s="3" t="s">
        <v>343</v>
      </c>
      <c r="G3136" s="3" t="s">
        <v>29</v>
      </c>
      <c r="H3136" s="2" t="s">
        <v>36</v>
      </c>
      <c r="I3136" s="2" t="s">
        <v>7449</v>
      </c>
      <c r="J3136" s="3" t="str">
        <f>HYPERLINK("https://www.boe.es/gazeta/dias/1818/06/11/pdfs/GMD-1818-70.pdf#page=4","Abrir facsímil")</f>
        <v>Abrir facsímil</v>
      </c>
      <c r="K3136" s="3" t="s">
        <v>38</v>
      </c>
    </row>
    <row r="3137" spans="1:11" ht="42" customHeight="1">
      <c r="A3137" s="2" t="s">
        <v>7450</v>
      </c>
      <c r="B3137" s="2" t="s">
        <v>7451</v>
      </c>
      <c r="C3137" s="2" t="s">
        <v>57</v>
      </c>
      <c r="D3137" s="2" t="s">
        <v>18</v>
      </c>
      <c r="E3137" s="5">
        <v>-29698</v>
      </c>
      <c r="F3137" s="3" t="s">
        <v>148</v>
      </c>
      <c r="G3137" s="3" t="s">
        <v>59</v>
      </c>
      <c r="H3137" s="2" t="s">
        <v>36</v>
      </c>
      <c r="I3137" s="2" t="s">
        <v>7452</v>
      </c>
      <c r="J3137" s="3" t="str">
        <f>HYPERLINK("https://www.boe.es/gazeta/dias/1818/09/08/pdfs/GMD-1818-108.pdf#page=6","Abrir facsímil")</f>
        <v>Abrir facsímil</v>
      </c>
      <c r="K3137" s="3" t="s">
        <v>38</v>
      </c>
    </row>
    <row r="3138" spans="1:11" ht="42" customHeight="1">
      <c r="A3138" s="2" t="s">
        <v>7453</v>
      </c>
      <c r="B3138" s="2" t="s">
        <v>7454</v>
      </c>
      <c r="C3138" s="2" t="s">
        <v>17</v>
      </c>
      <c r="D3138" s="2" t="s">
        <v>18</v>
      </c>
      <c r="E3138" s="5">
        <v>-29906</v>
      </c>
      <c r="F3138" s="3" t="s">
        <v>28</v>
      </c>
      <c r="G3138" s="3" t="s">
        <v>20</v>
      </c>
      <c r="H3138" s="2" t="s">
        <v>36</v>
      </c>
      <c r="I3138" s="2" t="s">
        <v>7455</v>
      </c>
      <c r="J3138" s="3" t="str">
        <f>HYPERLINK("https://www.boe.es/gazeta/dias/1818/02/12/pdfs/GMD-1818-19.pdf#page=7","Abrir facsímil")</f>
        <v>Abrir facsímil</v>
      </c>
      <c r="K3138" s="3" t="s">
        <v>38</v>
      </c>
    </row>
    <row r="3139" spans="1:11" ht="42" customHeight="1">
      <c r="A3139" s="2" t="s">
        <v>7456</v>
      </c>
      <c r="B3139" s="2" t="s">
        <v>7457</v>
      </c>
      <c r="C3139" s="2" t="s">
        <v>17</v>
      </c>
      <c r="D3139" s="2" t="s">
        <v>18</v>
      </c>
      <c r="E3139" s="5">
        <v>-29843</v>
      </c>
      <c r="F3139" s="3" t="s">
        <v>182</v>
      </c>
      <c r="G3139" s="3" t="s">
        <v>59</v>
      </c>
      <c r="H3139" s="2" t="s">
        <v>36</v>
      </c>
      <c r="I3139" s="2" t="s">
        <v>7458</v>
      </c>
      <c r="J3139" s="3" t="str">
        <f>HYPERLINK("https://www.boe.es/gazeta/dias/1818/04/16/pdfs/GMD-1818-46.pdf#page=6","Abrir facsímil")</f>
        <v>Abrir facsímil</v>
      </c>
      <c r="K3139" s="3" t="s">
        <v>38</v>
      </c>
    </row>
    <row r="3140" spans="1:11" ht="42" customHeight="1">
      <c r="A3140" s="2" t="s">
        <v>7459</v>
      </c>
      <c r="B3140" s="2" t="s">
        <v>7460</v>
      </c>
      <c r="C3140" s="2" t="s">
        <v>26</v>
      </c>
      <c r="D3140" s="2" t="s">
        <v>27</v>
      </c>
      <c r="E3140" s="5">
        <v>-29619</v>
      </c>
      <c r="F3140" s="3" t="s">
        <v>64</v>
      </c>
      <c r="G3140" s="3" t="s">
        <v>59</v>
      </c>
      <c r="H3140" s="2" t="s">
        <v>36</v>
      </c>
      <c r="I3140" s="2" t="s">
        <v>7461</v>
      </c>
      <c r="J3140" s="3" t="str">
        <f>HYPERLINK("https://www.boe.es/gazeta/dias/1818/11/26/pdfs/GMD-1818-143.pdf#page=6","Abrir facsímil")</f>
        <v>Abrir facsímil</v>
      </c>
      <c r="K3140" s="3" t="s">
        <v>38</v>
      </c>
    </row>
    <row r="3141" spans="1:11" ht="42" customHeight="1">
      <c r="A3141" s="2" t="s">
        <v>7462</v>
      </c>
      <c r="B3141" s="2" t="s">
        <v>7462</v>
      </c>
      <c r="C3141" s="2" t="s">
        <v>26</v>
      </c>
      <c r="D3141" s="2" t="s">
        <v>27</v>
      </c>
      <c r="E3141" s="5">
        <v>-29747</v>
      </c>
      <c r="F3141" s="3" t="s">
        <v>536</v>
      </c>
      <c r="G3141" s="3" t="s">
        <v>7463</v>
      </c>
      <c r="H3141" s="2" t="s">
        <v>36</v>
      </c>
      <c r="I3141" s="2" t="s">
        <v>7464</v>
      </c>
      <c r="J3141" s="3" t="str">
        <f>HYPERLINK("https://www.boe.es/gazeta/dias/1818/07/21/pdfs/GMD-1818-87.pdf#page=5","Abrir facsímil")</f>
        <v>Abrir facsímil</v>
      </c>
      <c r="K3141" s="3" t="s">
        <v>38</v>
      </c>
    </row>
    <row r="3142" spans="1:11" ht="42" customHeight="1">
      <c r="A3142" s="2" t="s">
        <v>7465</v>
      </c>
      <c r="B3142" s="2" t="s">
        <v>7466</v>
      </c>
      <c r="C3142" s="2" t="s">
        <v>17</v>
      </c>
      <c r="D3142" s="2" t="s">
        <v>18</v>
      </c>
      <c r="E3142" s="5">
        <v>-29778</v>
      </c>
      <c r="F3142" s="3" t="s">
        <v>239</v>
      </c>
      <c r="G3142" s="3" t="s">
        <v>45</v>
      </c>
      <c r="H3142" s="2" t="s">
        <v>36</v>
      </c>
      <c r="I3142" s="2" t="s">
        <v>7467</v>
      </c>
      <c r="J3142" s="3" t="str">
        <f>HYPERLINK("https://www.boe.es/gazeta/dias/1818/06/20/pdfs/GMD-1818-74.pdf#page=8","Abrir facsímil")</f>
        <v>Abrir facsímil</v>
      </c>
      <c r="K3142" s="3" t="s">
        <v>38</v>
      </c>
    </row>
    <row r="3143" spans="1:11" ht="42" customHeight="1">
      <c r="A3143" s="2" t="s">
        <v>7465</v>
      </c>
      <c r="B3143" s="2" t="s">
        <v>7466</v>
      </c>
      <c r="C3143" s="2" t="s">
        <v>33</v>
      </c>
      <c r="D3143" s="2" t="s">
        <v>18</v>
      </c>
      <c r="E3143" s="5">
        <v>-29773</v>
      </c>
      <c r="F3143" s="3" t="s">
        <v>424</v>
      </c>
      <c r="G3143" s="3" t="s">
        <v>20</v>
      </c>
      <c r="H3143" s="2" t="s">
        <v>36</v>
      </c>
      <c r="I3143" s="2" t="s">
        <v>7468</v>
      </c>
      <c r="J3143" s="3" t="str">
        <f>HYPERLINK("https://www.boe.es/gazeta/dias/1818/06/25/pdfs/GMD-1818-76.pdf#page=7","Abrir facsímil")</f>
        <v>Abrir facsímil</v>
      </c>
      <c r="K3143" s="3" t="s">
        <v>38</v>
      </c>
    </row>
    <row r="3144" spans="1:11" ht="42" customHeight="1">
      <c r="A3144" s="2" t="s">
        <v>7465</v>
      </c>
      <c r="B3144" s="2" t="s">
        <v>7466</v>
      </c>
      <c r="C3144" s="2" t="s">
        <v>57</v>
      </c>
      <c r="D3144" s="2" t="s">
        <v>18</v>
      </c>
      <c r="E3144" s="5">
        <v>-29773</v>
      </c>
      <c r="F3144" s="3" t="s">
        <v>424</v>
      </c>
      <c r="G3144" s="3" t="s">
        <v>45</v>
      </c>
      <c r="H3144" s="2" t="s">
        <v>36</v>
      </c>
      <c r="I3144" s="2" t="s">
        <v>7469</v>
      </c>
      <c r="J3144" s="3" t="str">
        <f>HYPERLINK("https://www.boe.es/gazeta/dias/1818/06/25/pdfs/GMD-1818-76.pdf#page=8","Abrir facsímil")</f>
        <v>Abrir facsímil</v>
      </c>
      <c r="K3144" s="3" t="s">
        <v>38</v>
      </c>
    </row>
    <row r="3145" spans="1:11" ht="42" customHeight="1">
      <c r="A3145" s="2" t="s">
        <v>7470</v>
      </c>
      <c r="B3145" s="2" t="s">
        <v>7471</v>
      </c>
      <c r="C3145" s="2" t="s">
        <v>68</v>
      </c>
      <c r="D3145" s="2" t="s">
        <v>69</v>
      </c>
      <c r="E3145" s="5">
        <v>-29717</v>
      </c>
      <c r="F3145" s="3" t="s">
        <v>1644</v>
      </c>
      <c r="G3145" s="3" t="s">
        <v>45</v>
      </c>
      <c r="H3145" s="2" t="s">
        <v>36</v>
      </c>
      <c r="I3145" s="2" t="s">
        <v>7472</v>
      </c>
      <c r="J3145" s="3" t="str">
        <f>HYPERLINK("https://www.boe.es/gazeta/dias/1818/08/20/pdfs/GMD-1818-100.pdf#page=8","Abrir facsímil")</f>
        <v>Abrir facsímil</v>
      </c>
      <c r="K3145" s="3" t="s">
        <v>38</v>
      </c>
    </row>
    <row r="3146" spans="1:11" ht="42" customHeight="1">
      <c r="A3146" s="2" t="s">
        <v>7465</v>
      </c>
      <c r="B3146" s="2" t="s">
        <v>7466</v>
      </c>
      <c r="C3146" s="2" t="s">
        <v>68</v>
      </c>
      <c r="D3146" s="2" t="s">
        <v>69</v>
      </c>
      <c r="E3146" s="5">
        <v>-29694</v>
      </c>
      <c r="F3146" s="3" t="s">
        <v>528</v>
      </c>
      <c r="G3146" s="3" t="s">
        <v>45</v>
      </c>
      <c r="H3146" s="2" t="s">
        <v>36</v>
      </c>
      <c r="I3146" s="2" t="s">
        <v>7473</v>
      </c>
      <c r="J3146" s="3" t="str">
        <f>HYPERLINK("https://www.boe.es/gazeta/dias/1818/09/12/pdfs/GMD-1818-110.pdf#page=8","Abrir facsímil")</f>
        <v>Abrir facsímil</v>
      </c>
      <c r="K3146" s="3" t="s">
        <v>38</v>
      </c>
    </row>
    <row r="3147" spans="1:11" ht="42" customHeight="1">
      <c r="A3147" s="2" t="s">
        <v>7465</v>
      </c>
      <c r="B3147" s="2" t="s">
        <v>7466</v>
      </c>
      <c r="C3147" s="2" t="s">
        <v>68</v>
      </c>
      <c r="D3147" s="2" t="s">
        <v>69</v>
      </c>
      <c r="E3147" s="5">
        <v>-29666</v>
      </c>
      <c r="F3147" s="3" t="s">
        <v>258</v>
      </c>
      <c r="G3147" s="3" t="s">
        <v>259</v>
      </c>
      <c r="H3147" s="2" t="s">
        <v>36</v>
      </c>
      <c r="I3147" s="2" t="s">
        <v>7474</v>
      </c>
      <c r="J3147" s="3" t="str">
        <f>HYPERLINK("https://www.boe.es/gazeta/dias/1818/10/10/pdfs/GMD-1818-122.pdf#page=8","Abrir facsímil")</f>
        <v>Abrir facsímil</v>
      </c>
      <c r="K3147" s="3" t="s">
        <v>38</v>
      </c>
    </row>
    <row r="3148" spans="1:11" ht="42" customHeight="1">
      <c r="A3148" s="2" t="s">
        <v>7475</v>
      </c>
      <c r="B3148" s="2" t="s">
        <v>7476</v>
      </c>
      <c r="C3148" s="2" t="s">
        <v>26</v>
      </c>
      <c r="D3148" s="2" t="s">
        <v>27</v>
      </c>
      <c r="E3148" s="5">
        <v>-29857</v>
      </c>
      <c r="F3148" s="3" t="s">
        <v>831</v>
      </c>
      <c r="G3148" s="3" t="s">
        <v>59</v>
      </c>
      <c r="H3148" s="2" t="s">
        <v>36</v>
      </c>
      <c r="I3148" s="2" t="s">
        <v>7477</v>
      </c>
      <c r="J3148" s="3" t="str">
        <f>HYPERLINK("https://www.boe.es/gazeta/dias/1818/04/02/pdfs/GMD-1818-40.pdf#page=6","Abrir facsímil")</f>
        <v>Abrir facsímil</v>
      </c>
      <c r="K3148" s="3" t="s">
        <v>38</v>
      </c>
    </row>
    <row r="3149" spans="1:11" ht="42" customHeight="1">
      <c r="A3149" s="2" t="s">
        <v>7478</v>
      </c>
      <c r="B3149" s="2" t="s">
        <v>7479</v>
      </c>
      <c r="C3149" s="2" t="s">
        <v>63</v>
      </c>
      <c r="D3149" s="2" t="s">
        <v>18</v>
      </c>
      <c r="E3149" s="5">
        <v>-29934</v>
      </c>
      <c r="F3149" s="3" t="s">
        <v>53</v>
      </c>
      <c r="G3149" s="3" t="s">
        <v>59</v>
      </c>
      <c r="H3149" s="2" t="s">
        <v>36</v>
      </c>
      <c r="I3149" s="2" t="s">
        <v>7480</v>
      </c>
      <c r="J3149" s="3" t="str">
        <f>HYPERLINK("https://www.boe.es/gazeta/dias/1818/01/15/pdfs/GMD-1818-7.pdf#page=6","Abrir facsímil")</f>
        <v>Abrir facsímil</v>
      </c>
      <c r="K3149" s="3" t="s">
        <v>38</v>
      </c>
    </row>
    <row r="3150" spans="1:11" ht="42" customHeight="1">
      <c r="A3150" s="2" t="s">
        <v>7481</v>
      </c>
      <c r="B3150" s="2" t="s">
        <v>7482</v>
      </c>
      <c r="C3150" s="2" t="s">
        <v>33</v>
      </c>
      <c r="D3150" s="2" t="s">
        <v>18</v>
      </c>
      <c r="E3150" s="5">
        <v>-29736</v>
      </c>
      <c r="F3150" s="3" t="s">
        <v>581</v>
      </c>
      <c r="G3150" s="3" t="s">
        <v>106</v>
      </c>
      <c r="H3150" s="2" t="s">
        <v>36</v>
      </c>
      <c r="I3150" s="2" t="s">
        <v>7483</v>
      </c>
      <c r="J3150" s="3" t="str">
        <f>HYPERLINK("https://www.boe.es/gazeta/dias/1818/08/01/pdfs/GMD-1818-92.pdf#page=5","Abrir facsímil")</f>
        <v>Abrir facsímil</v>
      </c>
      <c r="K3150" s="3" t="s">
        <v>38</v>
      </c>
    </row>
    <row r="3151" spans="1:11" ht="42" customHeight="1">
      <c r="A3151" s="2" t="s">
        <v>7484</v>
      </c>
      <c r="B3151" s="2" t="s">
        <v>7485</v>
      </c>
      <c r="C3151" s="2" t="s">
        <v>17</v>
      </c>
      <c r="D3151" s="2" t="s">
        <v>18</v>
      </c>
      <c r="E3151" s="5">
        <v>-29631</v>
      </c>
      <c r="F3151" s="3" t="s">
        <v>743</v>
      </c>
      <c r="G3151" s="3" t="s">
        <v>3691</v>
      </c>
      <c r="H3151" s="2" t="s">
        <v>36</v>
      </c>
      <c r="I3151" s="2" t="s">
        <v>7486</v>
      </c>
      <c r="J3151" s="3" t="str">
        <f>HYPERLINK("https://www.boe.es/gazeta/dias/1818/11/14/pdfs/GMD-1818-138.pdf#page=8","Abrir facsímil")</f>
        <v>Abrir facsímil</v>
      </c>
      <c r="K3151" s="3" t="s">
        <v>38</v>
      </c>
    </row>
    <row r="3152" spans="1:11" ht="42" customHeight="1">
      <c r="A3152" s="2" t="s">
        <v>7487</v>
      </c>
      <c r="B3152" s="2" t="s">
        <v>7488</v>
      </c>
      <c r="C3152" s="2" t="s">
        <v>26</v>
      </c>
      <c r="D3152" s="2" t="s">
        <v>27</v>
      </c>
      <c r="E3152" s="5">
        <v>-29831</v>
      </c>
      <c r="F3152" s="3" t="s">
        <v>567</v>
      </c>
      <c r="G3152" s="3" t="s">
        <v>45</v>
      </c>
      <c r="H3152" s="2" t="s">
        <v>36</v>
      </c>
      <c r="I3152" s="2" t="s">
        <v>7489</v>
      </c>
      <c r="J3152" s="3" t="str">
        <f>HYPERLINK("https://www.boe.es/gazeta/dias/1818/04/28/pdfs/GMD-1818-51.pdf#page=8","Abrir facsímil")</f>
        <v>Abrir facsímil</v>
      </c>
      <c r="K3152" s="3" t="s">
        <v>38</v>
      </c>
    </row>
    <row r="3153" spans="1:11" ht="42" customHeight="1">
      <c r="A3153" s="2" t="s">
        <v>7487</v>
      </c>
      <c r="B3153" s="2" t="s">
        <v>7488</v>
      </c>
      <c r="C3153" s="2" t="s">
        <v>26</v>
      </c>
      <c r="D3153" s="2" t="s">
        <v>27</v>
      </c>
      <c r="E3153" s="5">
        <v>-29792</v>
      </c>
      <c r="F3153" s="3" t="s">
        <v>948</v>
      </c>
      <c r="G3153" s="3" t="s">
        <v>45</v>
      </c>
      <c r="H3153" s="2" t="s">
        <v>36</v>
      </c>
      <c r="I3153" s="2" t="s">
        <v>7490</v>
      </c>
      <c r="J3153" s="3" t="str">
        <f>HYPERLINK("https://www.boe.es/gazeta/dias/1818/06/06/pdfs/GMD-1818-68.pdf#page=8","Abrir facsímil")</f>
        <v>Abrir facsímil</v>
      </c>
      <c r="K3153" s="3" t="s">
        <v>38</v>
      </c>
    </row>
    <row r="3154" spans="1:11" ht="42" customHeight="1">
      <c r="A3154" s="2" t="s">
        <v>7491</v>
      </c>
      <c r="B3154" s="2" t="s">
        <v>7492</v>
      </c>
      <c r="C3154" s="2" t="s">
        <v>26</v>
      </c>
      <c r="D3154" s="2" t="s">
        <v>27</v>
      </c>
      <c r="E3154" s="5">
        <v>-29864</v>
      </c>
      <c r="F3154" s="3" t="s">
        <v>196</v>
      </c>
      <c r="G3154" s="3" t="s">
        <v>45</v>
      </c>
      <c r="H3154" s="2" t="s">
        <v>36</v>
      </c>
      <c r="I3154" s="2" t="s">
        <v>7493</v>
      </c>
      <c r="J3154" s="3" t="str">
        <f>HYPERLINK("https://www.boe.es/gazeta/dias/1818/03/26/pdfs/GMD-1818-37.pdf#page=8","Abrir facsímil")</f>
        <v>Abrir facsímil</v>
      </c>
      <c r="K3154" s="3" t="s">
        <v>38</v>
      </c>
    </row>
    <row r="3155" spans="1:11" ht="42" customHeight="1">
      <c r="A3155" s="2" t="s">
        <v>7491</v>
      </c>
      <c r="B3155" s="2" t="s">
        <v>7492</v>
      </c>
      <c r="C3155" s="2" t="s">
        <v>57</v>
      </c>
      <c r="D3155" s="2" t="s">
        <v>18</v>
      </c>
      <c r="E3155" s="5">
        <v>-29803</v>
      </c>
      <c r="F3155" s="3" t="s">
        <v>1393</v>
      </c>
      <c r="G3155" s="3" t="s">
        <v>45</v>
      </c>
      <c r="H3155" s="2" t="s">
        <v>36</v>
      </c>
      <c r="I3155" s="2" t="s">
        <v>7494</v>
      </c>
      <c r="J3155" s="3" t="str">
        <f>HYPERLINK("https://www.boe.es/gazeta/dias/1818/05/26/pdfs/GMD-1818-63.pdf#page=8","Abrir facsímil")</f>
        <v>Abrir facsímil</v>
      </c>
      <c r="K3155" s="3" t="s">
        <v>38</v>
      </c>
    </row>
    <row r="3156" spans="1:11" ht="42" customHeight="1">
      <c r="A3156" s="2" t="s">
        <v>7495</v>
      </c>
      <c r="B3156" s="2" t="s">
        <v>7496</v>
      </c>
      <c r="C3156" s="2" t="s">
        <v>68</v>
      </c>
      <c r="D3156" s="2" t="s">
        <v>69</v>
      </c>
      <c r="E3156" s="5">
        <v>-29603</v>
      </c>
      <c r="F3156" s="3" t="s">
        <v>647</v>
      </c>
      <c r="G3156" s="3" t="s">
        <v>45</v>
      </c>
      <c r="H3156" s="2" t="s">
        <v>36</v>
      </c>
      <c r="I3156" s="2" t="s">
        <v>7497</v>
      </c>
      <c r="J3156" s="3" t="str">
        <f>HYPERLINK("https://www.boe.es/gazeta/dias/1818/12/12/pdfs/GMD-1818-150.pdf#page=8","Abrir facsímil")</f>
        <v>Abrir facsímil</v>
      </c>
      <c r="K3156" s="3" t="s">
        <v>38</v>
      </c>
    </row>
    <row r="3157" spans="1:11" ht="42" customHeight="1">
      <c r="A3157" s="2" t="s">
        <v>7498</v>
      </c>
      <c r="B3157" s="2" t="s">
        <v>7498</v>
      </c>
      <c r="C3157" s="2" t="s">
        <v>26</v>
      </c>
      <c r="D3157" s="2" t="s">
        <v>27</v>
      </c>
      <c r="E3157" s="5">
        <v>-29717</v>
      </c>
      <c r="F3157" s="3" t="s">
        <v>1644</v>
      </c>
      <c r="G3157" s="3" t="s">
        <v>1645</v>
      </c>
      <c r="H3157" s="2" t="s">
        <v>36</v>
      </c>
      <c r="I3157" s="2" t="s">
        <v>7499</v>
      </c>
      <c r="J3157" s="3" t="str">
        <f>HYPERLINK("https://www.boe.es/gazeta/dias/1818/08/20/pdfs/GMD-1818-100.pdf#page=2","Abrir facsímil")</f>
        <v>Abrir facsímil</v>
      </c>
      <c r="K3157" s="3" t="s">
        <v>38</v>
      </c>
    </row>
    <row r="3158" spans="1:11" ht="42" customHeight="1">
      <c r="A3158" s="2" t="s">
        <v>7500</v>
      </c>
      <c r="B3158" s="2" t="s">
        <v>7500</v>
      </c>
      <c r="C3158" s="2" t="s">
        <v>26</v>
      </c>
      <c r="D3158" s="2" t="s">
        <v>27</v>
      </c>
      <c r="E3158" s="5">
        <v>-29785</v>
      </c>
      <c r="F3158" s="3" t="s">
        <v>1031</v>
      </c>
      <c r="G3158" s="3" t="s">
        <v>120</v>
      </c>
      <c r="H3158" s="2" t="s">
        <v>36</v>
      </c>
      <c r="I3158" s="2" t="s">
        <v>7501</v>
      </c>
      <c r="J3158" s="3" t="str">
        <f>HYPERLINK("https://www.boe.es/gazeta/dias/1818/06/13/pdfs/GMD-1818-71.pdf#page=2","Abrir facsímil")</f>
        <v>Abrir facsímil</v>
      </c>
      <c r="K3158" s="3" t="s">
        <v>38</v>
      </c>
    </row>
    <row r="3159" spans="1:11" ht="42" customHeight="1">
      <c r="A3159" s="2" t="s">
        <v>7502</v>
      </c>
      <c r="B3159" s="2" t="s">
        <v>7503</v>
      </c>
      <c r="C3159" s="2" t="s">
        <v>26</v>
      </c>
      <c r="D3159" s="2" t="s">
        <v>27</v>
      </c>
      <c r="E3159" s="5">
        <v>-29901</v>
      </c>
      <c r="F3159" s="3" t="s">
        <v>417</v>
      </c>
      <c r="G3159" s="3" t="s">
        <v>20</v>
      </c>
      <c r="H3159" s="2" t="s">
        <v>36</v>
      </c>
      <c r="I3159" s="2" t="s">
        <v>7504</v>
      </c>
      <c r="J3159" s="3" t="str">
        <f>HYPERLINK("https://www.boe.es/gazeta/dias/1818/02/17/pdfs/GMD-1818-21.pdf#page=7","Abrir facsímil")</f>
        <v>Abrir facsímil</v>
      </c>
      <c r="K3159" s="3" t="s">
        <v>38</v>
      </c>
    </row>
    <row r="3160" spans="1:11" ht="42" customHeight="1">
      <c r="A3160" s="2" t="s">
        <v>7505</v>
      </c>
      <c r="B3160" s="2" t="s">
        <v>7505</v>
      </c>
      <c r="C3160" s="2" t="s">
        <v>26</v>
      </c>
      <c r="D3160" s="2" t="s">
        <v>27</v>
      </c>
      <c r="E3160" s="5">
        <v>-29922</v>
      </c>
      <c r="F3160" s="3" t="s">
        <v>174</v>
      </c>
      <c r="G3160" s="3" t="s">
        <v>812</v>
      </c>
      <c r="H3160" s="2" t="s">
        <v>36</v>
      </c>
      <c r="I3160" s="2" t="s">
        <v>7506</v>
      </c>
      <c r="J3160" s="3" t="str">
        <f>HYPERLINK("https://www.boe.es/gazeta/dias/1818/01/27/pdfs/GMD-1818-12.pdf#page=4","Abrir facsímil")</f>
        <v>Abrir facsímil</v>
      </c>
      <c r="K3160" s="3" t="s">
        <v>38</v>
      </c>
    </row>
    <row r="3161" spans="1:11" ht="42" customHeight="1">
      <c r="A3161" s="2" t="s">
        <v>7505</v>
      </c>
      <c r="B3161" s="2" t="s">
        <v>7505</v>
      </c>
      <c r="C3161" s="2" t="s">
        <v>26</v>
      </c>
      <c r="D3161" s="2" t="s">
        <v>27</v>
      </c>
      <c r="E3161" s="5">
        <v>-29897</v>
      </c>
      <c r="F3161" s="3" t="s">
        <v>318</v>
      </c>
      <c r="G3161" s="3" t="s">
        <v>85</v>
      </c>
      <c r="H3161" s="2" t="s">
        <v>36</v>
      </c>
      <c r="I3161" s="2" t="s">
        <v>7507</v>
      </c>
      <c r="J3161" s="3" t="str">
        <f>HYPERLINK("https://www.boe.es/gazeta/dias/1818/02/21/pdfs/GMD-1818-23.pdf#page=3","Abrir facsímil")</f>
        <v>Abrir facsímil</v>
      </c>
      <c r="K3161" s="3" t="s">
        <v>38</v>
      </c>
    </row>
    <row r="3162" spans="1:11" ht="42" customHeight="1">
      <c r="A3162" s="2" t="s">
        <v>7505</v>
      </c>
      <c r="B3162" s="2" t="s">
        <v>7505</v>
      </c>
      <c r="C3162" s="2" t="s">
        <v>26</v>
      </c>
      <c r="D3162" s="2" t="s">
        <v>27</v>
      </c>
      <c r="E3162" s="5">
        <v>-29887</v>
      </c>
      <c r="F3162" s="3" t="s">
        <v>613</v>
      </c>
      <c r="G3162" s="3" t="s">
        <v>29</v>
      </c>
      <c r="H3162" s="2" t="s">
        <v>36</v>
      </c>
      <c r="I3162" s="2" t="s">
        <v>7508</v>
      </c>
      <c r="J3162" s="3" t="str">
        <f>HYPERLINK("https://www.boe.es/gazeta/dias/1818/03/03/pdfs/GMD-1818-27.pdf#page=4","Abrir facsímil")</f>
        <v>Abrir facsímil</v>
      </c>
      <c r="K3162" s="3" t="s">
        <v>38</v>
      </c>
    </row>
    <row r="3163" spans="1:11" ht="42" customHeight="1">
      <c r="A3163" s="2" t="s">
        <v>7505</v>
      </c>
      <c r="B3163" s="2" t="s">
        <v>7505</v>
      </c>
      <c r="C3163" s="2" t="s">
        <v>26</v>
      </c>
      <c r="D3163" s="2" t="s">
        <v>27</v>
      </c>
      <c r="E3163" s="5">
        <v>-29887</v>
      </c>
      <c r="F3163" s="3" t="s">
        <v>613</v>
      </c>
      <c r="G3163" s="3" t="s">
        <v>20</v>
      </c>
      <c r="H3163" s="2" t="s">
        <v>36</v>
      </c>
      <c r="I3163" s="2" t="s">
        <v>7509</v>
      </c>
      <c r="J3163" s="3" t="str">
        <f>HYPERLINK("https://www.boe.es/gazeta/dias/1818/03/03/pdfs/GMD-1818-27.pdf#page=7","Abrir facsímil")</f>
        <v>Abrir facsímil</v>
      </c>
      <c r="K3163" s="3" t="s">
        <v>38</v>
      </c>
    </row>
    <row r="3164" spans="1:11" ht="42" customHeight="1">
      <c r="A3164" s="2" t="s">
        <v>7505</v>
      </c>
      <c r="B3164" s="2" t="s">
        <v>7505</v>
      </c>
      <c r="C3164" s="2" t="s">
        <v>26</v>
      </c>
      <c r="D3164" s="2" t="s">
        <v>27</v>
      </c>
      <c r="E3164" s="5">
        <v>-29862</v>
      </c>
      <c r="F3164" s="3" t="s">
        <v>925</v>
      </c>
      <c r="G3164" s="3" t="s">
        <v>59</v>
      </c>
      <c r="H3164" s="2" t="s">
        <v>36</v>
      </c>
      <c r="I3164" s="2" t="s">
        <v>7510</v>
      </c>
      <c r="J3164" s="3" t="str">
        <f>HYPERLINK("https://www.boe.es/gazeta/dias/1818/03/28/pdfs/GMD-1818-38.pdf#page=6","Abrir facsímil")</f>
        <v>Abrir facsímil</v>
      </c>
      <c r="K3164" s="3" t="s">
        <v>38</v>
      </c>
    </row>
    <row r="3165" spans="1:11" ht="42" customHeight="1">
      <c r="A3165" s="2" t="s">
        <v>7505</v>
      </c>
      <c r="B3165" s="2" t="s">
        <v>7505</v>
      </c>
      <c r="C3165" s="2" t="s">
        <v>26</v>
      </c>
      <c r="D3165" s="2" t="s">
        <v>27</v>
      </c>
      <c r="E3165" s="5">
        <v>-29841</v>
      </c>
      <c r="F3165" s="3" t="s">
        <v>19</v>
      </c>
      <c r="G3165" s="3" t="s">
        <v>59</v>
      </c>
      <c r="H3165" s="2" t="s">
        <v>36</v>
      </c>
      <c r="I3165" s="2" t="s">
        <v>7511</v>
      </c>
      <c r="J3165" s="3" t="str">
        <f>HYPERLINK("https://www.boe.es/gazeta/dias/1818/04/18/pdfs/GMD-1818-47.pdf#page=6","Abrir facsímil")</f>
        <v>Abrir facsímil</v>
      </c>
      <c r="K3165" s="3" t="s">
        <v>38</v>
      </c>
    </row>
    <row r="3166" spans="1:11" ht="42" customHeight="1">
      <c r="A3166" s="2" t="s">
        <v>7505</v>
      </c>
      <c r="B3166" s="2" t="s">
        <v>7505</v>
      </c>
      <c r="C3166" s="2" t="s">
        <v>26</v>
      </c>
      <c r="D3166" s="2" t="s">
        <v>27</v>
      </c>
      <c r="E3166" s="5">
        <v>-29607</v>
      </c>
      <c r="F3166" s="3" t="s">
        <v>704</v>
      </c>
      <c r="G3166" s="3" t="s">
        <v>106</v>
      </c>
      <c r="H3166" s="2" t="s">
        <v>36</v>
      </c>
      <c r="I3166" s="2" t="s">
        <v>7512</v>
      </c>
      <c r="J3166" s="3" t="str">
        <f>HYPERLINK("https://www.boe.es/gazeta/dias/1818/12/08/pdfs/GMD-1818-148.pdf#page=5","Abrir facsímil")</f>
        <v>Abrir facsímil</v>
      </c>
      <c r="K3166" s="3" t="s">
        <v>38</v>
      </c>
    </row>
    <row r="3167" spans="1:11" ht="42" customHeight="1">
      <c r="A3167" s="2" t="s">
        <v>7513</v>
      </c>
      <c r="B3167" s="2" t="s">
        <v>7514</v>
      </c>
      <c r="C3167" s="2" t="s">
        <v>26</v>
      </c>
      <c r="D3167" s="2" t="s">
        <v>27</v>
      </c>
      <c r="E3167" s="5">
        <v>-29922</v>
      </c>
      <c r="F3167" s="3" t="s">
        <v>174</v>
      </c>
      <c r="G3167" s="3" t="s">
        <v>812</v>
      </c>
      <c r="H3167" s="2" t="s">
        <v>36</v>
      </c>
      <c r="I3167" s="2" t="s">
        <v>7515</v>
      </c>
      <c r="J3167" s="3" t="str">
        <f>HYPERLINK("https://www.boe.es/gazeta/dias/1818/01/27/pdfs/GMD-1818-12.pdf#page=4","Abrir facsímil")</f>
        <v>Abrir facsímil</v>
      </c>
      <c r="K3167" s="3" t="s">
        <v>38</v>
      </c>
    </row>
    <row r="3168" spans="1:11" ht="42" customHeight="1">
      <c r="A3168" s="2" t="s">
        <v>7513</v>
      </c>
      <c r="B3168" s="2" t="s">
        <v>7514</v>
      </c>
      <c r="C3168" s="2" t="s">
        <v>26</v>
      </c>
      <c r="D3168" s="2" t="s">
        <v>27</v>
      </c>
      <c r="E3168" s="5">
        <v>-29922</v>
      </c>
      <c r="F3168" s="3" t="s">
        <v>174</v>
      </c>
      <c r="G3168" s="3" t="s">
        <v>175</v>
      </c>
      <c r="H3168" s="2" t="s">
        <v>36</v>
      </c>
      <c r="I3168" s="2" t="s">
        <v>7516</v>
      </c>
      <c r="J3168" s="3" t="str">
        <f>HYPERLINK("https://www.boe.es/gazeta/dias/1818/01/27/pdfs/GMD-1818-12.pdf#page=5","Abrir facsímil")</f>
        <v>Abrir facsímil</v>
      </c>
      <c r="K3168" s="3" t="s">
        <v>38</v>
      </c>
    </row>
    <row r="3169" spans="1:11" ht="42" customHeight="1">
      <c r="A3169" s="2" t="s">
        <v>7513</v>
      </c>
      <c r="B3169" s="2" t="s">
        <v>7514</v>
      </c>
      <c r="C3169" s="2" t="s">
        <v>26</v>
      </c>
      <c r="D3169" s="2" t="s">
        <v>27</v>
      </c>
      <c r="E3169" s="5">
        <v>-29897</v>
      </c>
      <c r="F3169" s="3" t="s">
        <v>318</v>
      </c>
      <c r="G3169" s="3" t="s">
        <v>85</v>
      </c>
      <c r="H3169" s="2" t="s">
        <v>36</v>
      </c>
      <c r="I3169" s="2" t="s">
        <v>7517</v>
      </c>
      <c r="J3169" s="3" t="str">
        <f>HYPERLINK("https://www.boe.es/gazeta/dias/1818/02/21/pdfs/GMD-1818-23.pdf#page=3","Abrir facsímil")</f>
        <v>Abrir facsímil</v>
      </c>
      <c r="K3169" s="3" t="s">
        <v>38</v>
      </c>
    </row>
    <row r="3170" spans="1:11" ht="42" customHeight="1">
      <c r="A3170" s="2" t="s">
        <v>7513</v>
      </c>
      <c r="B3170" s="2" t="s">
        <v>7514</v>
      </c>
      <c r="C3170" s="2" t="s">
        <v>26</v>
      </c>
      <c r="D3170" s="2" t="s">
        <v>27</v>
      </c>
      <c r="E3170" s="5">
        <v>-29897</v>
      </c>
      <c r="F3170" s="3" t="s">
        <v>318</v>
      </c>
      <c r="G3170" s="3" t="s">
        <v>106</v>
      </c>
      <c r="H3170" s="2" t="s">
        <v>36</v>
      </c>
      <c r="I3170" s="2" t="s">
        <v>7518</v>
      </c>
      <c r="J3170" s="3" t="str">
        <f>HYPERLINK("https://www.boe.es/gazeta/dias/1818/02/21/pdfs/GMD-1818-23.pdf#page=5","Abrir facsímil")</f>
        <v>Abrir facsímil</v>
      </c>
      <c r="K3170" s="3" t="s">
        <v>38</v>
      </c>
    </row>
    <row r="3171" spans="1:11" ht="42" customHeight="1">
      <c r="A3171" s="2" t="s">
        <v>7513</v>
      </c>
      <c r="B3171" s="2" t="s">
        <v>7514</v>
      </c>
      <c r="C3171" s="2" t="s">
        <v>26</v>
      </c>
      <c r="D3171" s="2" t="s">
        <v>27</v>
      </c>
      <c r="E3171" s="5">
        <v>-29887</v>
      </c>
      <c r="F3171" s="3" t="s">
        <v>613</v>
      </c>
      <c r="G3171" s="3" t="s">
        <v>29</v>
      </c>
      <c r="H3171" s="2" t="s">
        <v>36</v>
      </c>
      <c r="I3171" s="2" t="s">
        <v>7519</v>
      </c>
      <c r="J3171" s="3" t="str">
        <f>HYPERLINK("https://www.boe.es/gazeta/dias/1818/03/03/pdfs/GMD-1818-27.pdf#page=4","Abrir facsímil")</f>
        <v>Abrir facsímil</v>
      </c>
      <c r="K3171" s="3" t="s">
        <v>38</v>
      </c>
    </row>
    <row r="3172" spans="1:11" ht="42" customHeight="1">
      <c r="A3172" s="2" t="s">
        <v>7513</v>
      </c>
      <c r="B3172" s="2" t="s">
        <v>7514</v>
      </c>
      <c r="C3172" s="2" t="s">
        <v>26</v>
      </c>
      <c r="D3172" s="2" t="s">
        <v>27</v>
      </c>
      <c r="E3172" s="5">
        <v>-29652</v>
      </c>
      <c r="F3172" s="3" t="s">
        <v>741</v>
      </c>
      <c r="G3172" s="3" t="s">
        <v>106</v>
      </c>
      <c r="H3172" s="2" t="s">
        <v>36</v>
      </c>
      <c r="I3172" s="2" t="s">
        <v>7520</v>
      </c>
      <c r="J3172" s="3" t="str">
        <f>HYPERLINK("https://www.boe.es/gazeta/dias/1818/10/24/pdfs/GMD-1818-129.pdf#page=5","Abrir facsímil")</f>
        <v>Abrir facsímil</v>
      </c>
      <c r="K3172" s="3" t="s">
        <v>38</v>
      </c>
    </row>
    <row r="3173" spans="1:11" ht="42" customHeight="1">
      <c r="A3173" s="2" t="s">
        <v>7513</v>
      </c>
      <c r="B3173" s="2" t="s">
        <v>7514</v>
      </c>
      <c r="C3173" s="2" t="s">
        <v>26</v>
      </c>
      <c r="D3173" s="2" t="s">
        <v>27</v>
      </c>
      <c r="E3173" s="5">
        <v>-29607</v>
      </c>
      <c r="F3173" s="3" t="s">
        <v>704</v>
      </c>
      <c r="G3173" s="3" t="s">
        <v>106</v>
      </c>
      <c r="H3173" s="2" t="s">
        <v>36</v>
      </c>
      <c r="I3173" s="2" t="s">
        <v>7521</v>
      </c>
      <c r="J3173" s="3" t="str">
        <f>HYPERLINK("https://www.boe.es/gazeta/dias/1818/12/08/pdfs/GMD-1818-148.pdf#page=5","Abrir facsímil")</f>
        <v>Abrir facsímil</v>
      </c>
      <c r="K3173" s="3" t="s">
        <v>38</v>
      </c>
    </row>
    <row r="3174" spans="1:11" ht="42" customHeight="1">
      <c r="A3174" s="2" t="s">
        <v>7522</v>
      </c>
      <c r="B3174" s="2" t="s">
        <v>7523</v>
      </c>
      <c r="C3174" s="2" t="s">
        <v>26</v>
      </c>
      <c r="D3174" s="2" t="s">
        <v>27</v>
      </c>
      <c r="E3174" s="5">
        <v>-29803</v>
      </c>
      <c r="F3174" s="3" t="s">
        <v>1393</v>
      </c>
      <c r="G3174" s="3" t="s">
        <v>1522</v>
      </c>
      <c r="H3174" s="2" t="s">
        <v>36</v>
      </c>
      <c r="I3174" s="2" t="s">
        <v>7524</v>
      </c>
      <c r="J3174" s="3" t="str">
        <f>HYPERLINK("https://www.boe.es/gazeta/dias/1818/05/26/pdfs/GMD-1818-63.pdf#page=5","Abrir facsímil")</f>
        <v>Abrir facsímil</v>
      </c>
      <c r="K3174" s="3" t="s">
        <v>38</v>
      </c>
    </row>
    <row r="3175" spans="1:11" ht="42" customHeight="1">
      <c r="A3175" s="2" t="s">
        <v>7525</v>
      </c>
      <c r="B3175" s="2" t="s">
        <v>7526</v>
      </c>
      <c r="C3175" s="2" t="s">
        <v>33</v>
      </c>
      <c r="D3175" s="2" t="s">
        <v>18</v>
      </c>
      <c r="E3175" s="5">
        <v>-29862</v>
      </c>
      <c r="F3175" s="3" t="s">
        <v>925</v>
      </c>
      <c r="G3175" s="3" t="s">
        <v>45</v>
      </c>
      <c r="H3175" s="2" t="s">
        <v>36</v>
      </c>
      <c r="I3175" s="2" t="s">
        <v>7527</v>
      </c>
      <c r="J3175" s="3" t="str">
        <f>HYPERLINK("https://www.boe.es/gazeta/dias/1818/03/28/pdfs/GMD-1818-38.pdf#page=8","Abrir facsímil")</f>
        <v>Abrir facsímil</v>
      </c>
      <c r="K3175" s="3" t="s">
        <v>38</v>
      </c>
    </row>
    <row r="3176" spans="1:11" ht="42" customHeight="1">
      <c r="A3176" s="2" t="s">
        <v>7528</v>
      </c>
      <c r="B3176" s="2" t="s">
        <v>7529</v>
      </c>
      <c r="C3176" s="2" t="s">
        <v>26</v>
      </c>
      <c r="D3176" s="2" t="s">
        <v>27</v>
      </c>
      <c r="E3176" s="5">
        <v>-29897</v>
      </c>
      <c r="F3176" s="3" t="s">
        <v>318</v>
      </c>
      <c r="G3176" s="3" t="s">
        <v>106</v>
      </c>
      <c r="H3176" s="2" t="s">
        <v>36</v>
      </c>
      <c r="I3176" s="2" t="s">
        <v>7530</v>
      </c>
      <c r="J3176" s="3" t="str">
        <f>HYPERLINK("https://www.boe.es/gazeta/dias/1818/02/21/pdfs/GMD-1818-23.pdf#page=5","Abrir facsímil")</f>
        <v>Abrir facsímil</v>
      </c>
      <c r="K3176" s="3" t="s">
        <v>38</v>
      </c>
    </row>
    <row r="3177" spans="1:11" ht="42" customHeight="1">
      <c r="A3177" s="2" t="s">
        <v>7531</v>
      </c>
      <c r="B3177" s="2" t="s">
        <v>7532</v>
      </c>
      <c r="C3177" s="2" t="s">
        <v>215</v>
      </c>
      <c r="D3177" s="2" t="s">
        <v>18</v>
      </c>
      <c r="E3177" s="5">
        <v>-29654</v>
      </c>
      <c r="F3177" s="3" t="s">
        <v>219</v>
      </c>
      <c r="G3177" s="3" t="s">
        <v>59</v>
      </c>
      <c r="H3177" s="2" t="s">
        <v>21</v>
      </c>
      <c r="I3177" s="2" t="s">
        <v>7533</v>
      </c>
      <c r="J3177" s="3" t="str">
        <f>HYPERLINK("https://www.boe.es/gazeta/dias/1818/10/22/pdfs/GMD-1818-128.pdf#page=6","Abrir facsímil")</f>
        <v>Abrir facsímil</v>
      </c>
      <c r="K3177" s="3" t="s">
        <v>23</v>
      </c>
    </row>
    <row r="3178" spans="1:11" ht="42" customHeight="1">
      <c r="A3178" s="2" t="s">
        <v>7534</v>
      </c>
      <c r="B3178" s="2" t="s">
        <v>7535</v>
      </c>
      <c r="C3178" s="2" t="s">
        <v>26</v>
      </c>
      <c r="D3178" s="2" t="s">
        <v>27</v>
      </c>
      <c r="E3178" s="5">
        <v>-29897</v>
      </c>
      <c r="F3178" s="3" t="s">
        <v>318</v>
      </c>
      <c r="G3178" s="3" t="s">
        <v>106</v>
      </c>
      <c r="H3178" s="2" t="s">
        <v>36</v>
      </c>
      <c r="I3178" s="2" t="s">
        <v>7536</v>
      </c>
      <c r="J3178" s="3" t="str">
        <f>HYPERLINK("https://www.boe.es/gazeta/dias/1818/02/21/pdfs/GMD-1818-23.pdf#page=5","Abrir facsímil")</f>
        <v>Abrir facsímil</v>
      </c>
      <c r="K3178" s="3" t="s">
        <v>38</v>
      </c>
    </row>
    <row r="3179" spans="1:11" ht="42" customHeight="1">
      <c r="A3179" s="2" t="s">
        <v>7537</v>
      </c>
      <c r="B3179" s="2" t="s">
        <v>7538</v>
      </c>
      <c r="C3179" s="2" t="s">
        <v>57</v>
      </c>
      <c r="D3179" s="2" t="s">
        <v>18</v>
      </c>
      <c r="E3179" s="5">
        <v>-29801</v>
      </c>
      <c r="F3179" s="3" t="s">
        <v>288</v>
      </c>
      <c r="G3179" s="3" t="s">
        <v>49</v>
      </c>
      <c r="H3179" s="2" t="s">
        <v>36</v>
      </c>
      <c r="I3179" s="2" t="s">
        <v>7539</v>
      </c>
      <c r="J3179" s="3" t="str">
        <f>HYPERLINK("https://www.boe.es/gazeta/dias/1818/05/28/pdfs/GMD-1818-64.pdf#page=1","Abrir facsímil")</f>
        <v>Abrir facsímil</v>
      </c>
      <c r="K3179" s="3" t="s">
        <v>38</v>
      </c>
    </row>
    <row r="3180" spans="1:11" ht="42" customHeight="1">
      <c r="A3180" s="2" t="s">
        <v>7540</v>
      </c>
      <c r="B3180" s="2" t="s">
        <v>7541</v>
      </c>
      <c r="C3180" s="2" t="s">
        <v>26</v>
      </c>
      <c r="D3180" s="2" t="s">
        <v>27</v>
      </c>
      <c r="E3180" s="5">
        <v>-29801</v>
      </c>
      <c r="F3180" s="3" t="s">
        <v>288</v>
      </c>
      <c r="G3180" s="3" t="s">
        <v>49</v>
      </c>
      <c r="H3180" s="2" t="s">
        <v>36</v>
      </c>
      <c r="I3180" s="2" t="s">
        <v>7542</v>
      </c>
      <c r="J3180" s="3" t="str">
        <f>HYPERLINK("https://www.boe.es/gazeta/dias/1818/05/28/pdfs/GMD-1818-64.pdf#page=1","Abrir facsímil")</f>
        <v>Abrir facsímil</v>
      </c>
      <c r="K3180" s="3" t="s">
        <v>38</v>
      </c>
    </row>
    <row r="3181" spans="1:11" ht="42" customHeight="1">
      <c r="A3181" s="2" t="s">
        <v>7543</v>
      </c>
      <c r="B3181" s="2" t="s">
        <v>7544</v>
      </c>
      <c r="C3181" s="2" t="s">
        <v>26</v>
      </c>
      <c r="D3181" s="2" t="s">
        <v>27</v>
      </c>
      <c r="E3181" s="5">
        <v>-29887</v>
      </c>
      <c r="F3181" s="3" t="s">
        <v>613</v>
      </c>
      <c r="G3181" s="3" t="s">
        <v>59</v>
      </c>
      <c r="H3181" s="2" t="s">
        <v>36</v>
      </c>
      <c r="I3181" s="2" t="s">
        <v>7545</v>
      </c>
      <c r="J3181" s="3" t="str">
        <f>HYPERLINK("https://www.boe.es/gazeta/dias/1818/03/03/pdfs/GMD-1818-27.pdf#page=6","Abrir facsímil")</f>
        <v>Abrir facsímil</v>
      </c>
      <c r="K3181" s="3" t="s">
        <v>38</v>
      </c>
    </row>
    <row r="3182" spans="1:11" ht="42" customHeight="1">
      <c r="A3182" s="2" t="s">
        <v>7546</v>
      </c>
      <c r="B3182" s="2" t="s">
        <v>7547</v>
      </c>
      <c r="C3182" s="2" t="s">
        <v>26</v>
      </c>
      <c r="D3182" s="2" t="s">
        <v>27</v>
      </c>
      <c r="E3182" s="5">
        <v>-29782</v>
      </c>
      <c r="F3182" s="3" t="s">
        <v>226</v>
      </c>
      <c r="G3182" s="3" t="s">
        <v>4220</v>
      </c>
      <c r="H3182" s="2" t="s">
        <v>36</v>
      </c>
      <c r="I3182" s="2" t="s">
        <v>7548</v>
      </c>
      <c r="J3182" s="3" t="str">
        <f>HYPERLINK("https://www.boe.es/gazeta/dias/1818/06/16/pdfs/GMD-1818-72.pdf#page=6","Abrir facsímil")</f>
        <v>Abrir facsímil</v>
      </c>
      <c r="K3182" s="3" t="s">
        <v>38</v>
      </c>
    </row>
    <row r="3183" spans="1:11" ht="42" customHeight="1">
      <c r="A3183" s="2" t="s">
        <v>7549</v>
      </c>
      <c r="B3183" s="2" t="s">
        <v>7550</v>
      </c>
      <c r="C3183" s="2" t="s">
        <v>26</v>
      </c>
      <c r="D3183" s="2" t="s">
        <v>27</v>
      </c>
      <c r="E3183" s="5">
        <v>-29731</v>
      </c>
      <c r="F3183" s="3" t="s">
        <v>299</v>
      </c>
      <c r="G3183" s="3" t="s">
        <v>59</v>
      </c>
      <c r="H3183" s="2" t="s">
        <v>36</v>
      </c>
      <c r="I3183" s="2" t="s">
        <v>7551</v>
      </c>
      <c r="J3183" s="3" t="str">
        <f>HYPERLINK("https://www.boe.es/gazeta/dias/1818/08/06/pdfs/GMD-1818-94.pdf#page=6","Abrir facsímil")</f>
        <v>Abrir facsímil</v>
      </c>
      <c r="K3183" s="3" t="s">
        <v>38</v>
      </c>
    </row>
    <row r="3184" spans="1:11" ht="42" customHeight="1">
      <c r="A3184" s="2" t="s">
        <v>7552</v>
      </c>
      <c r="B3184" s="2" t="s">
        <v>7553</v>
      </c>
      <c r="C3184" s="2" t="s">
        <v>68</v>
      </c>
      <c r="D3184" s="2" t="s">
        <v>69</v>
      </c>
      <c r="E3184" s="5">
        <v>-29789</v>
      </c>
      <c r="F3184" s="3" t="s">
        <v>937</v>
      </c>
      <c r="G3184" s="3" t="s">
        <v>45</v>
      </c>
      <c r="H3184" s="2" t="s">
        <v>36</v>
      </c>
      <c r="I3184" s="2" t="s">
        <v>7554</v>
      </c>
      <c r="J3184" s="3" t="str">
        <f>HYPERLINK("https://www.boe.es/gazeta/dias/1818/06/09/pdfs/GMD-1818-69.pdf#page=8","Abrir facsímil")</f>
        <v>Abrir facsímil</v>
      </c>
      <c r="K3184" s="3" t="s">
        <v>38</v>
      </c>
    </row>
    <row r="3185" spans="1:11" ht="42" customHeight="1">
      <c r="A3185" s="2" t="s">
        <v>7555</v>
      </c>
      <c r="B3185" s="2" t="s">
        <v>7555</v>
      </c>
      <c r="C3185" s="2" t="s">
        <v>26</v>
      </c>
      <c r="D3185" s="2" t="s">
        <v>27</v>
      </c>
      <c r="E3185" s="5">
        <v>-29817</v>
      </c>
      <c r="F3185" s="3" t="s">
        <v>284</v>
      </c>
      <c r="G3185" s="3" t="s">
        <v>20</v>
      </c>
      <c r="H3185" s="2" t="s">
        <v>36</v>
      </c>
      <c r="I3185" s="2" t="s">
        <v>7556</v>
      </c>
      <c r="J3185" s="3" t="str">
        <f>HYPERLINK("https://www.boe.es/gazeta/dias/1818/05/12/pdfs/GMD-1818-57.pdf#page=7","Abrir facsímil")</f>
        <v>Abrir facsímil</v>
      </c>
      <c r="K3185" s="3" t="s">
        <v>38</v>
      </c>
    </row>
    <row r="3186" spans="1:11" ht="42" customHeight="1">
      <c r="A3186" s="2" t="s">
        <v>7557</v>
      </c>
      <c r="B3186" s="2" t="s">
        <v>7558</v>
      </c>
      <c r="C3186" s="2" t="s">
        <v>33</v>
      </c>
      <c r="D3186" s="2" t="s">
        <v>18</v>
      </c>
      <c r="E3186" s="5">
        <v>-29731</v>
      </c>
      <c r="F3186" s="3" t="s">
        <v>299</v>
      </c>
      <c r="G3186" s="3" t="s">
        <v>45</v>
      </c>
      <c r="H3186" s="2" t="s">
        <v>36</v>
      </c>
      <c r="I3186" s="2" t="s">
        <v>7559</v>
      </c>
      <c r="J3186" s="3" t="str">
        <f>HYPERLINK("https://www.boe.es/gazeta/dias/1818/08/06/pdfs/GMD-1818-94.pdf#page=8","Abrir facsímil")</f>
        <v>Abrir facsímil</v>
      </c>
      <c r="K3186" s="3" t="s">
        <v>38</v>
      </c>
    </row>
    <row r="3187" spans="1:11" ht="42" customHeight="1">
      <c r="A3187" s="2" t="s">
        <v>7560</v>
      </c>
      <c r="B3187" s="2" t="s">
        <v>7561</v>
      </c>
      <c r="C3187" s="2" t="s">
        <v>26</v>
      </c>
      <c r="D3187" s="2" t="s">
        <v>27</v>
      </c>
      <c r="E3187" s="5">
        <v>-29801</v>
      </c>
      <c r="F3187" s="3" t="s">
        <v>288</v>
      </c>
      <c r="G3187" s="3" t="s">
        <v>45</v>
      </c>
      <c r="H3187" s="2" t="s">
        <v>36</v>
      </c>
      <c r="I3187" s="2" t="s">
        <v>7562</v>
      </c>
      <c r="J3187" s="3" t="str">
        <f>HYPERLINK("https://www.boe.es/gazeta/dias/1818/05/28/pdfs/GMD-1818-64.pdf#page=8","Abrir facsímil")</f>
        <v>Abrir facsímil</v>
      </c>
      <c r="K3187" s="3" t="s">
        <v>38</v>
      </c>
    </row>
    <row r="3188" spans="1:11" ht="42" customHeight="1">
      <c r="A3188" s="2" t="s">
        <v>7563</v>
      </c>
      <c r="B3188" s="2" t="s">
        <v>7564</v>
      </c>
      <c r="C3188" s="2" t="s">
        <v>26</v>
      </c>
      <c r="D3188" s="2" t="s">
        <v>27</v>
      </c>
      <c r="E3188" s="5">
        <v>-29722</v>
      </c>
      <c r="F3188" s="3" t="s">
        <v>1127</v>
      </c>
      <c r="G3188" s="3" t="s">
        <v>45</v>
      </c>
      <c r="H3188" s="2" t="s">
        <v>21</v>
      </c>
      <c r="I3188" s="2" t="s">
        <v>7565</v>
      </c>
      <c r="J3188" s="3" t="str">
        <f>HYPERLINK("https://www.boe.es/gazeta/dias/1818/08/15/pdfs/GMD-1818-98.pdf#page=8","Abrir facsímil")</f>
        <v>Abrir facsímil</v>
      </c>
      <c r="K3188" s="3" t="s">
        <v>23</v>
      </c>
    </row>
    <row r="3189" spans="1:11" ht="42" customHeight="1">
      <c r="A3189" s="2" t="s">
        <v>7566</v>
      </c>
      <c r="B3189" s="2" t="s">
        <v>7566</v>
      </c>
      <c r="C3189" s="2" t="s">
        <v>26</v>
      </c>
      <c r="D3189" s="2" t="s">
        <v>27</v>
      </c>
      <c r="E3189" s="5">
        <v>-29722</v>
      </c>
      <c r="F3189" s="3" t="s">
        <v>1127</v>
      </c>
      <c r="G3189" s="3" t="s">
        <v>49</v>
      </c>
      <c r="H3189" s="2" t="s">
        <v>36</v>
      </c>
      <c r="I3189" s="2" t="s">
        <v>7567</v>
      </c>
      <c r="J3189" s="3" t="str">
        <f>HYPERLINK("https://www.boe.es/gazeta/dias/1818/08/15/pdfs/GMD-1818-98.pdf#page=1","Abrir facsímil")</f>
        <v>Abrir facsímil</v>
      </c>
      <c r="K3189" s="3" t="s">
        <v>38</v>
      </c>
    </row>
    <row r="3190" spans="1:11" ht="42" customHeight="1">
      <c r="A3190" s="2" t="s">
        <v>7568</v>
      </c>
      <c r="B3190" s="2" t="s">
        <v>7569</v>
      </c>
      <c r="C3190" s="2" t="s">
        <v>26</v>
      </c>
      <c r="D3190" s="2" t="s">
        <v>27</v>
      </c>
      <c r="E3190" s="5">
        <v>-29682</v>
      </c>
      <c r="F3190" s="3" t="s">
        <v>170</v>
      </c>
      <c r="G3190" s="3" t="s">
        <v>20</v>
      </c>
      <c r="H3190" s="2" t="s">
        <v>36</v>
      </c>
      <c r="I3190" s="2" t="s">
        <v>7570</v>
      </c>
      <c r="J3190" s="3" t="str">
        <f>HYPERLINK("https://www.boe.es/gazeta/dias/1818/09/24/pdfs/GMD-1818-115.pdf#page=7","Abrir facsímil")</f>
        <v>Abrir facsímil</v>
      </c>
      <c r="K3190" s="3" t="s">
        <v>38</v>
      </c>
    </row>
    <row r="3191" spans="1:11" ht="42" customHeight="1">
      <c r="A3191" s="2" t="s">
        <v>7571</v>
      </c>
      <c r="B3191" s="2" t="s">
        <v>7571</v>
      </c>
      <c r="C3191" s="2" t="s">
        <v>26</v>
      </c>
      <c r="D3191" s="2" t="s">
        <v>27</v>
      </c>
      <c r="E3191" s="5">
        <v>-29663</v>
      </c>
      <c r="F3191" s="3" t="s">
        <v>1011</v>
      </c>
      <c r="G3191" s="3" t="s">
        <v>29</v>
      </c>
      <c r="H3191" s="2" t="s">
        <v>36</v>
      </c>
      <c r="I3191" s="2" t="s">
        <v>7572</v>
      </c>
      <c r="J3191" s="3" t="str">
        <f>HYPERLINK("https://www.boe.es/gazeta/dias/1818/10/13/pdfs/GMD-1818-123.pdf#page=4","Abrir facsímil")</f>
        <v>Abrir facsímil</v>
      </c>
      <c r="K3191" s="3" t="s">
        <v>38</v>
      </c>
    </row>
    <row r="3192" spans="1:11" ht="42" customHeight="1">
      <c r="A3192" s="2" t="s">
        <v>7573</v>
      </c>
      <c r="B3192" s="2" t="s">
        <v>7574</v>
      </c>
      <c r="C3192" s="2" t="s">
        <v>26</v>
      </c>
      <c r="D3192" s="2" t="s">
        <v>27</v>
      </c>
      <c r="E3192" s="5">
        <v>-29878</v>
      </c>
      <c r="F3192" s="3" t="s">
        <v>353</v>
      </c>
      <c r="G3192" s="3" t="s">
        <v>106</v>
      </c>
      <c r="H3192" s="2" t="s">
        <v>36</v>
      </c>
      <c r="I3192" s="2" t="s">
        <v>7575</v>
      </c>
      <c r="J3192" s="3" t="str">
        <f>HYPERLINK("https://www.boe.es/gazeta/dias/1818/03/12/pdfs/GMD-1818-31.pdf#page=5","Abrir facsímil")</f>
        <v>Abrir facsímil</v>
      </c>
      <c r="K3192" s="3" t="s">
        <v>38</v>
      </c>
    </row>
    <row r="3193" spans="1:11" ht="42" customHeight="1">
      <c r="A3193" s="2" t="s">
        <v>7576</v>
      </c>
      <c r="B3193" s="2" t="s">
        <v>7577</v>
      </c>
      <c r="C3193" s="2" t="s">
        <v>26</v>
      </c>
      <c r="D3193" s="2" t="s">
        <v>27</v>
      </c>
      <c r="E3193" s="5">
        <v>-29722</v>
      </c>
      <c r="F3193" s="3" t="s">
        <v>1127</v>
      </c>
      <c r="G3193" s="3" t="s">
        <v>20</v>
      </c>
      <c r="H3193" s="2" t="s">
        <v>36</v>
      </c>
      <c r="I3193" s="2" t="s">
        <v>7578</v>
      </c>
      <c r="J3193" s="3" t="str">
        <f>HYPERLINK("https://www.boe.es/gazeta/dias/1818/08/15/pdfs/GMD-1818-98.pdf#page=7","Abrir facsímil")</f>
        <v>Abrir facsímil</v>
      </c>
      <c r="K3193" s="3" t="s">
        <v>38</v>
      </c>
    </row>
    <row r="3194" spans="1:11" ht="42" customHeight="1">
      <c r="A3194" s="2" t="s">
        <v>7579</v>
      </c>
      <c r="B3194" s="2" t="s">
        <v>7580</v>
      </c>
      <c r="C3194" s="2" t="s">
        <v>68</v>
      </c>
      <c r="D3194" s="2" t="s">
        <v>69</v>
      </c>
      <c r="E3194" s="5">
        <v>-29691</v>
      </c>
      <c r="F3194" s="3" t="s">
        <v>144</v>
      </c>
      <c r="G3194" s="3" t="s">
        <v>45</v>
      </c>
      <c r="H3194" s="2" t="s">
        <v>36</v>
      </c>
      <c r="I3194" s="2" t="s">
        <v>7581</v>
      </c>
      <c r="J3194" s="3" t="str">
        <f>HYPERLINK("https://www.boe.es/gazeta/dias/1818/09/15/pdfs/GMD-1818-111.pdf#page=8","Abrir facsímil")</f>
        <v>Abrir facsímil</v>
      </c>
      <c r="K3194" s="3" t="s">
        <v>38</v>
      </c>
    </row>
    <row r="3195" spans="1:11" ht="42" customHeight="1">
      <c r="A3195" s="2" t="s">
        <v>7582</v>
      </c>
      <c r="B3195" s="2" t="s">
        <v>7583</v>
      </c>
      <c r="C3195" s="2" t="s">
        <v>26</v>
      </c>
      <c r="D3195" s="2" t="s">
        <v>27</v>
      </c>
      <c r="E3195" s="5">
        <v>-29654</v>
      </c>
      <c r="F3195" s="3" t="s">
        <v>219</v>
      </c>
      <c r="G3195" s="3" t="s">
        <v>45</v>
      </c>
      <c r="H3195" s="2" t="s">
        <v>36</v>
      </c>
      <c r="I3195" s="2" t="s">
        <v>7584</v>
      </c>
      <c r="J3195" s="3" t="str">
        <f>HYPERLINK("https://www.boe.es/gazeta/dias/1818/10/22/pdfs/GMD-1818-128.pdf#page=8","Abrir facsímil")</f>
        <v>Abrir facsímil</v>
      </c>
      <c r="K3195" s="3" t="s">
        <v>38</v>
      </c>
    </row>
    <row r="3196" spans="1:11" ht="42" customHeight="1">
      <c r="A3196" s="2" t="s">
        <v>7585</v>
      </c>
      <c r="B3196" s="2" t="s">
        <v>7586</v>
      </c>
      <c r="C3196" s="2" t="s">
        <v>68</v>
      </c>
      <c r="D3196" s="2" t="s">
        <v>69</v>
      </c>
      <c r="E3196" s="5">
        <v>-29799</v>
      </c>
      <c r="F3196" s="3" t="s">
        <v>135</v>
      </c>
      <c r="G3196" s="3" t="s">
        <v>45</v>
      </c>
      <c r="H3196" s="2" t="s">
        <v>21</v>
      </c>
      <c r="I3196" s="2" t="s">
        <v>7587</v>
      </c>
      <c r="J3196" s="3" t="str">
        <f>HYPERLINK("https://www.boe.es/gazeta/dias/1818/05/30/pdfs/GMD-1818-65.pdf#page=8","Abrir facsímil")</f>
        <v>Abrir facsímil</v>
      </c>
      <c r="K3196" s="3" t="s">
        <v>23</v>
      </c>
    </row>
    <row r="3197" spans="1:11" ht="42" customHeight="1">
      <c r="A3197" s="2" t="s">
        <v>7588</v>
      </c>
      <c r="B3197" s="2" t="s">
        <v>7588</v>
      </c>
      <c r="C3197" s="2" t="s">
        <v>68</v>
      </c>
      <c r="D3197" s="2" t="s">
        <v>69</v>
      </c>
      <c r="E3197" s="5">
        <v>-29876</v>
      </c>
      <c r="F3197" s="3" t="s">
        <v>338</v>
      </c>
      <c r="G3197" s="3" t="s">
        <v>7589</v>
      </c>
      <c r="H3197" s="2" t="s">
        <v>36</v>
      </c>
      <c r="I3197" s="2" t="s">
        <v>7590</v>
      </c>
      <c r="J3197" s="3" t="str">
        <f>HYPERLINK("https://www.boe.es/gazeta/dias/1818/03/14/pdfs/GMD-1818-32.pdf#page=2","Abrir facsímil")</f>
        <v>Abrir facsímil</v>
      </c>
      <c r="K3197" s="3" t="s">
        <v>38</v>
      </c>
    </row>
    <row r="3198" spans="1:11" ht="42" customHeight="1">
      <c r="A3198" s="2" t="s">
        <v>7591</v>
      </c>
      <c r="B3198" s="2" t="s">
        <v>7592</v>
      </c>
      <c r="C3198" s="2" t="s">
        <v>26</v>
      </c>
      <c r="D3198" s="2" t="s">
        <v>27</v>
      </c>
      <c r="E3198" s="5">
        <v>-29680</v>
      </c>
      <c r="F3198" s="3" t="s">
        <v>865</v>
      </c>
      <c r="G3198" s="3" t="s">
        <v>59</v>
      </c>
      <c r="H3198" s="2" t="s">
        <v>36</v>
      </c>
      <c r="I3198" s="2" t="s">
        <v>7593</v>
      </c>
      <c r="J3198" s="3" t="str">
        <f>HYPERLINK("https://www.boe.es/gazeta/dias/1818/09/26/pdfs/GMD-1818-116.pdf#page=6","Abrir facsímil")</f>
        <v>Abrir facsímil</v>
      </c>
      <c r="K3198" s="3" t="s">
        <v>38</v>
      </c>
    </row>
    <row r="3199" spans="1:11" ht="42" customHeight="1">
      <c r="A3199" s="2" t="s">
        <v>7594</v>
      </c>
      <c r="B3199" s="2" t="s">
        <v>7595</v>
      </c>
      <c r="C3199" s="2" t="s">
        <v>26</v>
      </c>
      <c r="D3199" s="2" t="s">
        <v>27</v>
      </c>
      <c r="E3199" s="5">
        <v>-29726</v>
      </c>
      <c r="F3199" s="3" t="s">
        <v>70</v>
      </c>
      <c r="G3199" s="3" t="s">
        <v>4546</v>
      </c>
      <c r="H3199" s="2" t="s">
        <v>36</v>
      </c>
      <c r="I3199" s="2" t="s">
        <v>7596</v>
      </c>
      <c r="J3199" s="3" t="str">
        <f>HYPERLINK("https://www.boe.es/gazeta/dias/1818/08/11/pdfs/GMD-1818-96.pdf#page=13","Abrir facsímil")</f>
        <v>Abrir facsímil</v>
      </c>
      <c r="K3199" s="3" t="s">
        <v>38</v>
      </c>
    </row>
    <row r="3200" spans="1:11" ht="42" customHeight="1">
      <c r="A3200" s="2" t="s">
        <v>7597</v>
      </c>
      <c r="B3200" s="2" t="s">
        <v>7597</v>
      </c>
      <c r="C3200" s="2" t="s">
        <v>26</v>
      </c>
      <c r="D3200" s="2" t="s">
        <v>27</v>
      </c>
      <c r="E3200" s="5">
        <v>-29813</v>
      </c>
      <c r="F3200" s="3" t="s">
        <v>839</v>
      </c>
      <c r="G3200" s="3" t="s">
        <v>85</v>
      </c>
      <c r="H3200" s="2" t="s">
        <v>36</v>
      </c>
      <c r="I3200" s="2" t="s">
        <v>7598</v>
      </c>
      <c r="J3200" s="3" t="str">
        <f>HYPERLINK("https://www.boe.es/gazeta/dias/1818/05/16/pdfs/GMD-1818-59.pdf#page=3","Abrir facsímil")</f>
        <v>Abrir facsímil</v>
      </c>
      <c r="K3200" s="3" t="s">
        <v>38</v>
      </c>
    </row>
    <row r="3201" spans="1:11" ht="42" customHeight="1">
      <c r="A3201" s="2" t="s">
        <v>7599</v>
      </c>
      <c r="B3201" s="2" t="s">
        <v>7600</v>
      </c>
      <c r="C3201" s="2" t="s">
        <v>26</v>
      </c>
      <c r="D3201" s="2" t="s">
        <v>27</v>
      </c>
      <c r="E3201" s="5">
        <v>-29927</v>
      </c>
      <c r="F3201" s="3" t="s">
        <v>1381</v>
      </c>
      <c r="G3201" s="3" t="s">
        <v>1382</v>
      </c>
      <c r="H3201" s="2" t="s">
        <v>36</v>
      </c>
      <c r="I3201" s="2" t="s">
        <v>7601</v>
      </c>
      <c r="J3201" s="3" t="str">
        <f>HYPERLINK("https://www.boe.es/gazeta/dias/1818/01/22/pdfs/GMD-1818-10.pdf#page=5","Abrir facsímil")</f>
        <v>Abrir facsímil</v>
      </c>
      <c r="K3201" s="3" t="s">
        <v>38</v>
      </c>
    </row>
    <row r="3202" spans="1:11" ht="42" customHeight="1">
      <c r="A3202" s="2" t="s">
        <v>7602</v>
      </c>
      <c r="B3202" s="2" t="s">
        <v>7603</v>
      </c>
      <c r="C3202" s="2" t="s">
        <v>26</v>
      </c>
      <c r="D3202" s="2" t="s">
        <v>27</v>
      </c>
      <c r="E3202" s="5">
        <v>-29878</v>
      </c>
      <c r="F3202" s="3" t="s">
        <v>353</v>
      </c>
      <c r="G3202" s="3" t="s">
        <v>106</v>
      </c>
      <c r="H3202" s="2" t="s">
        <v>36</v>
      </c>
      <c r="I3202" s="2" t="s">
        <v>7604</v>
      </c>
      <c r="J3202" s="3" t="str">
        <f>HYPERLINK("https://www.boe.es/gazeta/dias/1818/03/12/pdfs/GMD-1818-31.pdf#page=5","Abrir facsímil")</f>
        <v>Abrir facsímil</v>
      </c>
      <c r="K3202" s="3" t="s">
        <v>38</v>
      </c>
    </row>
    <row r="3203" spans="1:11" ht="42" customHeight="1">
      <c r="A3203" s="2" t="s">
        <v>7605</v>
      </c>
      <c r="B3203" s="2" t="s">
        <v>7606</v>
      </c>
      <c r="C3203" s="2" t="s">
        <v>68</v>
      </c>
      <c r="D3203" s="2" t="s">
        <v>69</v>
      </c>
      <c r="E3203" s="5">
        <v>-29852</v>
      </c>
      <c r="F3203" s="3" t="s">
        <v>327</v>
      </c>
      <c r="G3203" s="3" t="s">
        <v>20</v>
      </c>
      <c r="H3203" s="2" t="s">
        <v>36</v>
      </c>
      <c r="I3203" s="2" t="s">
        <v>7607</v>
      </c>
      <c r="J3203" s="3" t="str">
        <f>HYPERLINK("https://www.boe.es/gazeta/dias/1818/04/07/pdfs/GMD-1818-42.pdf#page=7","Abrir facsímil")</f>
        <v>Abrir facsímil</v>
      </c>
      <c r="K3203" s="3" t="s">
        <v>38</v>
      </c>
    </row>
    <row r="3204" spans="1:11" ht="42" customHeight="1">
      <c r="A3204" s="2" t="s">
        <v>7608</v>
      </c>
      <c r="B3204" s="2" t="s">
        <v>7609</v>
      </c>
      <c r="C3204" s="2" t="s">
        <v>63</v>
      </c>
      <c r="D3204" s="2" t="s">
        <v>18</v>
      </c>
      <c r="E3204" s="5">
        <v>-29701</v>
      </c>
      <c r="F3204" s="3" t="s">
        <v>596</v>
      </c>
      <c r="G3204" s="3" t="s">
        <v>59</v>
      </c>
      <c r="H3204" s="2" t="s">
        <v>36</v>
      </c>
      <c r="I3204" s="2" t="s">
        <v>7610</v>
      </c>
      <c r="J3204" s="3" t="str">
        <f>HYPERLINK("https://www.boe.es/gazeta/dias/1818/09/05/pdfs/GMD-1818-107.pdf#page=6","Abrir facsímil")</f>
        <v>Abrir facsímil</v>
      </c>
      <c r="K3204" s="3" t="s">
        <v>38</v>
      </c>
    </row>
    <row r="3205" spans="1:11" ht="42" customHeight="1">
      <c r="A3205" s="2" t="s">
        <v>7611</v>
      </c>
      <c r="B3205" s="2" t="s">
        <v>7611</v>
      </c>
      <c r="C3205" s="2" t="s">
        <v>26</v>
      </c>
      <c r="D3205" s="2" t="s">
        <v>27</v>
      </c>
      <c r="E3205" s="5">
        <v>-29663</v>
      </c>
      <c r="F3205" s="3" t="s">
        <v>1011</v>
      </c>
      <c r="G3205" s="3" t="s">
        <v>20</v>
      </c>
      <c r="H3205" s="2" t="s">
        <v>36</v>
      </c>
      <c r="I3205" s="2" t="s">
        <v>7612</v>
      </c>
      <c r="J3205" s="3" t="str">
        <f>HYPERLINK("https://www.boe.es/gazeta/dias/1818/10/13/pdfs/GMD-1818-123.pdf#page=7","Abrir facsímil")</f>
        <v>Abrir facsímil</v>
      </c>
      <c r="K3205" s="3" t="s">
        <v>38</v>
      </c>
    </row>
    <row r="3206" spans="1:11" ht="42" customHeight="1">
      <c r="A3206" s="2" t="s">
        <v>7613</v>
      </c>
      <c r="B3206" s="2" t="s">
        <v>7613</v>
      </c>
      <c r="C3206" s="2" t="s">
        <v>17</v>
      </c>
      <c r="D3206" s="2" t="s">
        <v>18</v>
      </c>
      <c r="E3206" s="5">
        <v>-29598</v>
      </c>
      <c r="F3206" s="3" t="s">
        <v>98</v>
      </c>
      <c r="G3206" s="3" t="s">
        <v>49</v>
      </c>
      <c r="H3206" s="2" t="s">
        <v>36</v>
      </c>
      <c r="I3206" s="2" t="s">
        <v>7614</v>
      </c>
      <c r="J3206" s="3" t="str">
        <f>HYPERLINK("https://www.boe.es/gazeta/dias/1818/12/17/pdfs/GMD-1818-152.pdf#page=1","Abrir facsímil")</f>
        <v>Abrir facsímil</v>
      </c>
      <c r="K3206" s="3" t="s">
        <v>38</v>
      </c>
    </row>
    <row r="3207" spans="1:11" ht="42" customHeight="1">
      <c r="A3207" s="2" t="s">
        <v>7615</v>
      </c>
      <c r="B3207" s="2" t="s">
        <v>7616</v>
      </c>
      <c r="C3207" s="2" t="s">
        <v>17</v>
      </c>
      <c r="D3207" s="2" t="s">
        <v>18</v>
      </c>
      <c r="E3207" s="5">
        <v>-29936</v>
      </c>
      <c r="F3207" s="3" t="s">
        <v>398</v>
      </c>
      <c r="G3207" s="3" t="s">
        <v>29</v>
      </c>
      <c r="H3207" s="2" t="s">
        <v>36</v>
      </c>
      <c r="I3207" s="2" t="s">
        <v>7617</v>
      </c>
      <c r="J3207" s="3" t="str">
        <f>HYPERLINK("https://www.boe.es/gazeta/dias/1818/01/13/pdfs/GMD-1818-6.pdf#page=4","Abrir facsímil")</f>
        <v>Abrir facsímil</v>
      </c>
      <c r="K3207" s="3" t="s">
        <v>38</v>
      </c>
    </row>
    <row r="3208" spans="1:11" ht="42" customHeight="1">
      <c r="A3208" s="2" t="s">
        <v>7618</v>
      </c>
      <c r="B3208" s="2" t="s">
        <v>7619</v>
      </c>
      <c r="C3208" s="2" t="s">
        <v>17</v>
      </c>
      <c r="D3208" s="2" t="s">
        <v>18</v>
      </c>
      <c r="E3208" s="5">
        <v>-29698</v>
      </c>
      <c r="F3208" s="3" t="s">
        <v>148</v>
      </c>
      <c r="G3208" s="3" t="s">
        <v>29</v>
      </c>
      <c r="H3208" s="2" t="s">
        <v>21</v>
      </c>
      <c r="I3208" s="2" t="s">
        <v>7620</v>
      </c>
      <c r="J3208" s="3" t="str">
        <f>HYPERLINK("https://www.boe.es/gazeta/dias/1818/09/08/pdfs/GMD-1818-108.pdf#page=4","Abrir facsímil")</f>
        <v>Abrir facsímil</v>
      </c>
      <c r="K3208" s="3" t="s">
        <v>23</v>
      </c>
    </row>
    <row r="3209" spans="1:11" ht="42" customHeight="1">
      <c r="A3209" s="2" t="s">
        <v>7621</v>
      </c>
      <c r="B3209" s="2" t="s">
        <v>7622</v>
      </c>
      <c r="C3209" s="2" t="s">
        <v>26</v>
      </c>
      <c r="D3209" s="2" t="s">
        <v>27</v>
      </c>
      <c r="E3209" s="5">
        <v>-29722</v>
      </c>
      <c r="F3209" s="3" t="s">
        <v>1127</v>
      </c>
      <c r="G3209" s="3" t="s">
        <v>20</v>
      </c>
      <c r="H3209" s="2" t="s">
        <v>36</v>
      </c>
      <c r="I3209" s="2" t="s">
        <v>7623</v>
      </c>
      <c r="J3209" s="3" t="str">
        <f>HYPERLINK("https://www.boe.es/gazeta/dias/1818/08/15/pdfs/GMD-1818-98.pdf#page=7","Abrir facsímil")</f>
        <v>Abrir facsímil</v>
      </c>
      <c r="K3209" s="3" t="s">
        <v>38</v>
      </c>
    </row>
    <row r="3210" spans="1:11" ht="42" customHeight="1">
      <c r="A3210" s="2" t="s">
        <v>7624</v>
      </c>
      <c r="B3210" s="2" t="s">
        <v>7625</v>
      </c>
      <c r="C3210" s="2" t="s">
        <v>26</v>
      </c>
      <c r="D3210" s="2" t="s">
        <v>27</v>
      </c>
      <c r="E3210" s="5">
        <v>-29920</v>
      </c>
      <c r="F3210" s="3" t="s">
        <v>201</v>
      </c>
      <c r="G3210" s="3" t="s">
        <v>71</v>
      </c>
      <c r="H3210" s="2" t="s">
        <v>36</v>
      </c>
      <c r="I3210" s="2" t="s">
        <v>7626</v>
      </c>
      <c r="J3210" s="3" t="str">
        <f>HYPERLINK("https://www.boe.es/gazeta/dias/1818/01/29/pdfs/GMD-1818-13.pdf#page=16","Abrir facsímil")</f>
        <v>Abrir facsímil</v>
      </c>
      <c r="K3210" s="3" t="s">
        <v>38</v>
      </c>
    </row>
    <row r="3211" spans="1:11" ht="42" customHeight="1">
      <c r="A3211" s="2" t="s">
        <v>7627</v>
      </c>
      <c r="B3211" s="2" t="s">
        <v>7628</v>
      </c>
      <c r="C3211" s="2" t="s">
        <v>68</v>
      </c>
      <c r="D3211" s="2" t="s">
        <v>69</v>
      </c>
      <c r="E3211" s="5">
        <v>-29794</v>
      </c>
      <c r="F3211" s="3" t="s">
        <v>127</v>
      </c>
      <c r="G3211" s="3" t="s">
        <v>45</v>
      </c>
      <c r="H3211" s="2" t="s">
        <v>36</v>
      </c>
      <c r="I3211" s="2" t="s">
        <v>7629</v>
      </c>
      <c r="J3211" s="3" t="str">
        <f>HYPERLINK("https://www.boe.es/gazeta/dias/1818/06/04/pdfs/GMD-1818-67.pdf#page=8","Abrir facsímil")</f>
        <v>Abrir facsímil</v>
      </c>
      <c r="K3211" s="3" t="s">
        <v>38</v>
      </c>
    </row>
    <row r="3212" spans="1:11" ht="42" customHeight="1">
      <c r="A3212" s="2" t="s">
        <v>7630</v>
      </c>
      <c r="B3212" s="2" t="s">
        <v>7631</v>
      </c>
      <c r="C3212" s="2" t="s">
        <v>215</v>
      </c>
      <c r="D3212" s="2" t="s">
        <v>18</v>
      </c>
      <c r="E3212" s="5">
        <v>-29694</v>
      </c>
      <c r="F3212" s="3" t="s">
        <v>528</v>
      </c>
      <c r="G3212" s="3" t="s">
        <v>45</v>
      </c>
      <c r="H3212" s="2" t="s">
        <v>36</v>
      </c>
      <c r="I3212" s="2" t="s">
        <v>7632</v>
      </c>
      <c r="J3212" s="3" t="str">
        <f>HYPERLINK("https://www.boe.es/gazeta/dias/1818/09/12/pdfs/GMD-1818-110.pdf#page=8","Abrir facsímil")</f>
        <v>Abrir facsímil</v>
      </c>
      <c r="K3212" s="3" t="s">
        <v>38</v>
      </c>
    </row>
    <row r="3213" spans="1:11" ht="42" customHeight="1">
      <c r="A3213" s="2" t="s">
        <v>7633</v>
      </c>
      <c r="B3213" s="2" t="s">
        <v>7634</v>
      </c>
      <c r="C3213" s="2" t="s">
        <v>215</v>
      </c>
      <c r="D3213" s="2" t="s">
        <v>18</v>
      </c>
      <c r="E3213" s="5">
        <v>-29689</v>
      </c>
      <c r="F3213" s="3" t="s">
        <v>303</v>
      </c>
      <c r="G3213" s="3" t="s">
        <v>45</v>
      </c>
      <c r="H3213" s="2" t="s">
        <v>36</v>
      </c>
      <c r="I3213" s="2" t="s">
        <v>7635</v>
      </c>
      <c r="J3213" s="3" t="str">
        <f>HYPERLINK("https://www.boe.es/gazeta/dias/1818/09/17/pdfs/GMD-1818-112.pdf#page=8","Abrir facsímil")</f>
        <v>Abrir facsímil</v>
      </c>
      <c r="K3213" s="3" t="s">
        <v>38</v>
      </c>
    </row>
    <row r="3214" spans="1:11" ht="42" customHeight="1">
      <c r="A3214" s="2" t="s">
        <v>7636</v>
      </c>
      <c r="B3214" s="2" t="s">
        <v>7637</v>
      </c>
      <c r="C3214" s="2" t="s">
        <v>17</v>
      </c>
      <c r="D3214" s="2" t="s">
        <v>18</v>
      </c>
      <c r="E3214" s="5">
        <v>-29659</v>
      </c>
      <c r="F3214" s="3" t="s">
        <v>1690</v>
      </c>
      <c r="G3214" s="3" t="s">
        <v>59</v>
      </c>
      <c r="H3214" s="2" t="s">
        <v>36</v>
      </c>
      <c r="I3214" s="2" t="s">
        <v>7638</v>
      </c>
      <c r="J3214" s="3" t="str">
        <f>HYPERLINK("https://www.boe.es/gazeta/dias/1818/10/17/pdfs/GMD-1818-126.pdf#page=6","Abrir facsímil")</f>
        <v>Abrir facsímil</v>
      </c>
      <c r="K3214" s="3" t="s">
        <v>38</v>
      </c>
    </row>
    <row r="3215" spans="1:11" ht="42" customHeight="1">
      <c r="A3215" s="2" t="s">
        <v>7639</v>
      </c>
      <c r="B3215" s="2" t="s">
        <v>7640</v>
      </c>
      <c r="C3215" s="2" t="s">
        <v>26</v>
      </c>
      <c r="D3215" s="2" t="s">
        <v>27</v>
      </c>
      <c r="E3215" s="5">
        <v>-29750</v>
      </c>
      <c r="F3215" s="3" t="s">
        <v>384</v>
      </c>
      <c r="G3215" s="3" t="s">
        <v>59</v>
      </c>
      <c r="H3215" s="2" t="s">
        <v>36</v>
      </c>
      <c r="I3215" s="2" t="s">
        <v>7641</v>
      </c>
      <c r="J3215" s="3" t="str">
        <f>HYPERLINK("https://www.boe.es/gazeta/dias/1818/07/18/pdfs/GMD-1818-86.pdf#page=6","Abrir facsímil")</f>
        <v>Abrir facsímil</v>
      </c>
      <c r="K3215" s="3" t="s">
        <v>38</v>
      </c>
    </row>
    <row r="3216" spans="1:11" ht="42" customHeight="1">
      <c r="A3216" s="2" t="s">
        <v>7642</v>
      </c>
      <c r="B3216" s="2" t="s">
        <v>7643</v>
      </c>
      <c r="C3216" s="2" t="s">
        <v>57</v>
      </c>
      <c r="D3216" s="2" t="s">
        <v>18</v>
      </c>
      <c r="E3216" s="5">
        <v>-29626</v>
      </c>
      <c r="F3216" s="3" t="s">
        <v>496</v>
      </c>
      <c r="G3216" s="3" t="s">
        <v>45</v>
      </c>
      <c r="H3216" s="2" t="s">
        <v>36</v>
      </c>
      <c r="I3216" s="2" t="s">
        <v>7644</v>
      </c>
      <c r="J3216" s="3" t="str">
        <f>HYPERLINK("https://www.boe.es/gazeta/dias/1818/11/19/pdfs/GMD-1818-140.pdf#page=8","Abrir facsímil")</f>
        <v>Abrir facsímil</v>
      </c>
      <c r="K3216" s="3" t="s">
        <v>38</v>
      </c>
    </row>
    <row r="3217" spans="1:11" ht="42" customHeight="1">
      <c r="A3217" s="2" t="s">
        <v>7645</v>
      </c>
      <c r="B3217" s="2" t="s">
        <v>7646</v>
      </c>
      <c r="C3217" s="2" t="s">
        <v>17</v>
      </c>
      <c r="D3217" s="2" t="s">
        <v>18</v>
      </c>
      <c r="E3217" s="5">
        <v>-29768</v>
      </c>
      <c r="F3217" s="3" t="s">
        <v>253</v>
      </c>
      <c r="G3217" s="3" t="s">
        <v>254</v>
      </c>
      <c r="H3217" s="2" t="s">
        <v>36</v>
      </c>
      <c r="I3217" s="2" t="s">
        <v>7647</v>
      </c>
      <c r="J3217" s="3" t="str">
        <f>HYPERLINK("https://www.boe.es/gazeta/dias/1818/06/30/pdfs/GMD-1818-78.pdf#page=6","Abrir facsímil")</f>
        <v>Abrir facsímil</v>
      </c>
      <c r="K3217" s="3" t="s">
        <v>38</v>
      </c>
    </row>
    <row r="3218" spans="1:11" ht="42" customHeight="1">
      <c r="A3218" s="2" t="s">
        <v>7648</v>
      </c>
      <c r="B3218" s="2" t="s">
        <v>7649</v>
      </c>
      <c r="C3218" s="2" t="s">
        <v>26</v>
      </c>
      <c r="D3218" s="2" t="s">
        <v>27</v>
      </c>
      <c r="E3218" s="5">
        <v>-29897</v>
      </c>
      <c r="F3218" s="3" t="s">
        <v>318</v>
      </c>
      <c r="G3218" s="3" t="s">
        <v>45</v>
      </c>
      <c r="H3218" s="2" t="s">
        <v>36</v>
      </c>
      <c r="I3218" s="2" t="s">
        <v>7650</v>
      </c>
      <c r="J3218" s="3" t="str">
        <f>HYPERLINK("https://www.boe.es/gazeta/dias/1818/02/21/pdfs/GMD-1818-23.pdf#page=8","Abrir facsímil")</f>
        <v>Abrir facsímil</v>
      </c>
      <c r="K3218" s="3" t="s">
        <v>38</v>
      </c>
    </row>
    <row r="3219" spans="1:11" ht="42" customHeight="1">
      <c r="A3219" s="2" t="s">
        <v>7648</v>
      </c>
      <c r="B3219" s="2" t="s">
        <v>7649</v>
      </c>
      <c r="C3219" s="2" t="s">
        <v>68</v>
      </c>
      <c r="D3219" s="2" t="s">
        <v>69</v>
      </c>
      <c r="E3219" s="5">
        <v>-29782</v>
      </c>
      <c r="F3219" s="3" t="s">
        <v>226</v>
      </c>
      <c r="G3219" s="3" t="s">
        <v>45</v>
      </c>
      <c r="H3219" s="2" t="s">
        <v>36</v>
      </c>
      <c r="I3219" s="2" t="s">
        <v>7651</v>
      </c>
      <c r="J3219" s="3" t="str">
        <f>HYPERLINK("https://www.boe.es/gazeta/dias/1818/06/16/pdfs/GMD-1818-72.pdf#page=8","Abrir facsímil")</f>
        <v>Abrir facsímil</v>
      </c>
      <c r="K3219" s="3" t="s">
        <v>38</v>
      </c>
    </row>
    <row r="3220" spans="1:11" ht="42" customHeight="1">
      <c r="A3220" s="2" t="s">
        <v>7648</v>
      </c>
      <c r="B3220" s="2" t="s">
        <v>7649</v>
      </c>
      <c r="C3220" s="2" t="s">
        <v>68</v>
      </c>
      <c r="D3220" s="2" t="s">
        <v>69</v>
      </c>
      <c r="E3220" s="5">
        <v>-29747</v>
      </c>
      <c r="F3220" s="3" t="s">
        <v>536</v>
      </c>
      <c r="G3220" s="3" t="s">
        <v>45</v>
      </c>
      <c r="H3220" s="2" t="s">
        <v>36</v>
      </c>
      <c r="I3220" s="2" t="s">
        <v>7652</v>
      </c>
      <c r="J3220" s="3" t="str">
        <f>HYPERLINK("https://www.boe.es/gazeta/dias/1818/07/21/pdfs/GMD-1818-87.pdf#page=8","Abrir facsímil")</f>
        <v>Abrir facsímil</v>
      </c>
      <c r="K3220" s="3" t="s">
        <v>38</v>
      </c>
    </row>
    <row r="3221" spans="1:11" ht="42" customHeight="1">
      <c r="A3221" s="2" t="s">
        <v>7653</v>
      </c>
      <c r="B3221" s="2" t="s">
        <v>7654</v>
      </c>
      <c r="C3221" s="2" t="s">
        <v>26</v>
      </c>
      <c r="D3221" s="2" t="s">
        <v>668</v>
      </c>
      <c r="E3221" s="5">
        <v>-29661</v>
      </c>
      <c r="F3221" s="3" t="s">
        <v>669</v>
      </c>
      <c r="G3221" s="3" t="s">
        <v>85</v>
      </c>
      <c r="H3221" s="2" t="s">
        <v>36</v>
      </c>
      <c r="I3221" s="2" t="s">
        <v>7655</v>
      </c>
      <c r="J3221" s="3" t="str">
        <f>HYPERLINK("https://www.boe.es/gazeta/dias/1818/10/15/pdfs/GMD-1818-125E.pdf#page=3","Abrir facsímil")</f>
        <v>Abrir facsímil</v>
      </c>
      <c r="K3221" s="3" t="s">
        <v>38</v>
      </c>
    </row>
    <row r="3222" spans="1:11" ht="42" customHeight="1">
      <c r="A3222" s="2" t="s">
        <v>7656</v>
      </c>
      <c r="B3222" s="2" t="s">
        <v>7657</v>
      </c>
      <c r="C3222" s="2" t="s">
        <v>57</v>
      </c>
      <c r="D3222" s="2" t="s">
        <v>18</v>
      </c>
      <c r="E3222" s="5">
        <v>-29745</v>
      </c>
      <c r="F3222" s="3" t="s">
        <v>409</v>
      </c>
      <c r="G3222" s="3" t="s">
        <v>45</v>
      </c>
      <c r="H3222" s="2" t="s">
        <v>36</v>
      </c>
      <c r="I3222" s="2" t="s">
        <v>7658</v>
      </c>
      <c r="J3222" s="3" t="str">
        <f>HYPERLINK("https://www.boe.es/gazeta/dias/1818/07/23/pdfs/GMD-1818-88.pdf#page=8","Abrir facsímil")</f>
        <v>Abrir facsímil</v>
      </c>
      <c r="K3222" s="3" t="s">
        <v>38</v>
      </c>
    </row>
    <row r="3223" spans="1:11" ht="42" customHeight="1">
      <c r="A3223" s="2" t="s">
        <v>7659</v>
      </c>
      <c r="B3223" s="2" t="s">
        <v>7660</v>
      </c>
      <c r="C3223" s="2" t="s">
        <v>97</v>
      </c>
      <c r="D3223" s="2" t="s">
        <v>18</v>
      </c>
      <c r="E3223" s="5">
        <v>-29792</v>
      </c>
      <c r="F3223" s="3" t="s">
        <v>948</v>
      </c>
      <c r="G3223" s="3" t="s">
        <v>45</v>
      </c>
      <c r="H3223" s="2" t="s">
        <v>36</v>
      </c>
      <c r="I3223" s="2" t="s">
        <v>7661</v>
      </c>
      <c r="J3223" s="3" t="str">
        <f>HYPERLINK("https://www.boe.es/gazeta/dias/1818/06/06/pdfs/GMD-1818-68.pdf#page=8","Abrir facsímil")</f>
        <v>Abrir facsímil</v>
      </c>
      <c r="K3223" s="3" t="s">
        <v>38</v>
      </c>
    </row>
    <row r="3224" spans="1:11" ht="42" customHeight="1">
      <c r="A3224" s="2" t="s">
        <v>7662</v>
      </c>
      <c r="B3224" s="2" t="s">
        <v>7663</v>
      </c>
      <c r="C3224" s="2" t="s">
        <v>26</v>
      </c>
      <c r="D3224" s="2" t="s">
        <v>27</v>
      </c>
      <c r="E3224" s="5">
        <v>-29792</v>
      </c>
      <c r="F3224" s="3" t="s">
        <v>948</v>
      </c>
      <c r="G3224" s="3" t="s">
        <v>45</v>
      </c>
      <c r="H3224" s="2" t="s">
        <v>36</v>
      </c>
      <c r="I3224" s="2" t="s">
        <v>7664</v>
      </c>
      <c r="J3224" s="3" t="str">
        <f>HYPERLINK("https://www.boe.es/gazeta/dias/1818/06/06/pdfs/GMD-1818-68.pdf#page=8","Abrir facsímil")</f>
        <v>Abrir facsímil</v>
      </c>
      <c r="K3224" s="3" t="s">
        <v>38</v>
      </c>
    </row>
    <row r="3225" spans="1:11" ht="42" customHeight="1">
      <c r="A3225" s="2" t="s">
        <v>7665</v>
      </c>
      <c r="B3225" s="2" t="s">
        <v>7665</v>
      </c>
      <c r="C3225" s="2" t="s">
        <v>68</v>
      </c>
      <c r="D3225" s="2" t="s">
        <v>69</v>
      </c>
      <c r="E3225" s="5">
        <v>-29677</v>
      </c>
      <c r="F3225" s="3" t="s">
        <v>157</v>
      </c>
      <c r="G3225" s="3" t="s">
        <v>49</v>
      </c>
      <c r="H3225" s="2" t="s">
        <v>36</v>
      </c>
      <c r="I3225" s="2" t="s">
        <v>7666</v>
      </c>
      <c r="J3225" s="3" t="str">
        <f>HYPERLINK("https://www.boe.es/gazeta/dias/1818/09/29/pdfs/GMD-1818-117.pdf#page=1","Abrir facsímil")</f>
        <v>Abrir facsímil</v>
      </c>
      <c r="K3225" s="3" t="s">
        <v>38</v>
      </c>
    </row>
    <row r="3226" spans="1:11" ht="42" customHeight="1">
      <c r="A3226" s="2" t="s">
        <v>7667</v>
      </c>
      <c r="B3226" s="2" t="s">
        <v>7668</v>
      </c>
      <c r="C3226" s="2" t="s">
        <v>17</v>
      </c>
      <c r="D3226" s="2" t="s">
        <v>18</v>
      </c>
      <c r="E3226" s="5">
        <v>-29836</v>
      </c>
      <c r="F3226" s="3" t="s">
        <v>119</v>
      </c>
      <c r="G3226" s="3" t="s">
        <v>29</v>
      </c>
      <c r="H3226" s="2" t="s">
        <v>36</v>
      </c>
      <c r="I3226" s="2" t="s">
        <v>7669</v>
      </c>
      <c r="J3226" s="3" t="str">
        <f>HYPERLINK("https://www.boe.es/gazeta/dias/1818/04/23/pdfs/GMD-1818-49.pdf#page=4","Abrir facsímil")</f>
        <v>Abrir facsímil</v>
      </c>
      <c r="K3226" s="3" t="s">
        <v>38</v>
      </c>
    </row>
    <row r="3227" spans="1:11" ht="42" customHeight="1">
      <c r="A3227" s="2" t="s">
        <v>7670</v>
      </c>
      <c r="B3227" s="2" t="s">
        <v>7671</v>
      </c>
      <c r="C3227" s="2" t="s">
        <v>26</v>
      </c>
      <c r="D3227" s="2" t="s">
        <v>27</v>
      </c>
      <c r="E3227" s="5">
        <v>-29934</v>
      </c>
      <c r="F3227" s="3" t="s">
        <v>53</v>
      </c>
      <c r="G3227" s="3" t="s">
        <v>59</v>
      </c>
      <c r="H3227" s="2" t="s">
        <v>36</v>
      </c>
      <c r="I3227" s="2" t="s">
        <v>7672</v>
      </c>
      <c r="J3227" s="3" t="str">
        <f>HYPERLINK("https://www.boe.es/gazeta/dias/1818/01/15/pdfs/GMD-1818-7.pdf#page=6","Abrir facsímil")</f>
        <v>Abrir facsímil</v>
      </c>
      <c r="K3227" s="3" t="s">
        <v>38</v>
      </c>
    </row>
    <row r="3228" spans="1:11" ht="42" customHeight="1">
      <c r="A3228" s="2" t="s">
        <v>7673</v>
      </c>
      <c r="B3228" s="2" t="s">
        <v>7674</v>
      </c>
      <c r="C3228" s="2" t="s">
        <v>26</v>
      </c>
      <c r="D3228" s="2" t="s">
        <v>27</v>
      </c>
      <c r="E3228" s="5">
        <v>-29703</v>
      </c>
      <c r="F3228" s="3" t="s">
        <v>294</v>
      </c>
      <c r="G3228" s="3" t="s">
        <v>29</v>
      </c>
      <c r="H3228" s="2" t="s">
        <v>36</v>
      </c>
      <c r="I3228" s="2" t="s">
        <v>7675</v>
      </c>
      <c r="J3228" s="3" t="str">
        <f>HYPERLINK("https://www.boe.es/gazeta/dias/1818/09/03/pdfs/GMD-1818-106.pdf#page=4","Abrir facsímil")</f>
        <v>Abrir facsímil</v>
      </c>
      <c r="K3228" s="3" t="s">
        <v>38</v>
      </c>
    </row>
    <row r="3229" spans="1:11" ht="42" customHeight="1">
      <c r="A3229" s="2" t="s">
        <v>7676</v>
      </c>
      <c r="B3229" s="2" t="s">
        <v>7676</v>
      </c>
      <c r="C3229" s="2" t="s">
        <v>26</v>
      </c>
      <c r="D3229" s="2" t="s">
        <v>27</v>
      </c>
      <c r="E3229" s="5">
        <v>-29831</v>
      </c>
      <c r="F3229" s="3" t="s">
        <v>567</v>
      </c>
      <c r="G3229" s="3" t="s">
        <v>49</v>
      </c>
      <c r="H3229" s="2" t="s">
        <v>36</v>
      </c>
      <c r="I3229" s="2" t="s">
        <v>7677</v>
      </c>
      <c r="J3229" s="3" t="str">
        <f>HYPERLINK("https://www.boe.es/gazeta/dias/1818/04/28/pdfs/GMD-1818-51.pdf#page=1","Abrir facsímil")</f>
        <v>Abrir facsímil</v>
      </c>
      <c r="K3229" s="3" t="s">
        <v>38</v>
      </c>
    </row>
    <row r="3230" spans="1:11" ht="42" customHeight="1">
      <c r="A3230" s="2" t="s">
        <v>7676</v>
      </c>
      <c r="B3230" s="2" t="s">
        <v>7676</v>
      </c>
      <c r="C3230" s="2" t="s">
        <v>33</v>
      </c>
      <c r="D3230" s="2" t="s">
        <v>18</v>
      </c>
      <c r="E3230" s="5">
        <v>-29831</v>
      </c>
      <c r="F3230" s="3" t="s">
        <v>567</v>
      </c>
      <c r="G3230" s="3" t="s">
        <v>120</v>
      </c>
      <c r="H3230" s="2" t="s">
        <v>36</v>
      </c>
      <c r="I3230" s="2" t="s">
        <v>7678</v>
      </c>
      <c r="J3230" s="3" t="str">
        <f>HYPERLINK("https://www.boe.es/gazeta/dias/1818/04/28/pdfs/GMD-1818-51.pdf#page=2","Abrir facsímil")</f>
        <v>Abrir facsímil</v>
      </c>
      <c r="K3230" s="3" t="s">
        <v>38</v>
      </c>
    </row>
    <row r="3231" spans="1:11" ht="42" customHeight="1">
      <c r="A3231" s="2" t="s">
        <v>7676</v>
      </c>
      <c r="B3231" s="2" t="s">
        <v>7676</v>
      </c>
      <c r="C3231" s="2" t="s">
        <v>17</v>
      </c>
      <c r="D3231" s="2" t="s">
        <v>18</v>
      </c>
      <c r="E3231" s="5">
        <v>-29824</v>
      </c>
      <c r="F3231" s="3" t="s">
        <v>101</v>
      </c>
      <c r="G3231" s="3" t="s">
        <v>106</v>
      </c>
      <c r="H3231" s="2" t="s">
        <v>36</v>
      </c>
      <c r="I3231" s="2" t="s">
        <v>7679</v>
      </c>
      <c r="J3231" s="3" t="str">
        <f>HYPERLINK("https://www.boe.es/gazeta/dias/1818/05/05/pdfs/GMD-1818-54.pdf#page=5","Abrir facsímil")</f>
        <v>Abrir facsímil</v>
      </c>
      <c r="K3231" s="3" t="s">
        <v>38</v>
      </c>
    </row>
    <row r="3232" spans="1:11" ht="42" customHeight="1">
      <c r="A3232" s="2" t="s">
        <v>7680</v>
      </c>
      <c r="B3232" s="2" t="s">
        <v>7681</v>
      </c>
      <c r="C3232" s="2" t="s">
        <v>33</v>
      </c>
      <c r="D3232" s="2" t="s">
        <v>18</v>
      </c>
      <c r="E3232" s="5">
        <v>-29645</v>
      </c>
      <c r="F3232" s="3" t="s">
        <v>577</v>
      </c>
      <c r="G3232" s="3" t="s">
        <v>45</v>
      </c>
      <c r="H3232" s="2" t="s">
        <v>36</v>
      </c>
      <c r="I3232" s="2" t="s">
        <v>7682</v>
      </c>
      <c r="J3232" s="3" t="str">
        <f>HYPERLINK("https://www.boe.es/gazeta/dias/1818/10/31/pdfs/GMD-1818-132.pdf#page=8","Abrir facsímil")</f>
        <v>Abrir facsímil</v>
      </c>
      <c r="K3232" s="3" t="s">
        <v>38</v>
      </c>
    </row>
    <row r="3233" spans="1:11" ht="42" customHeight="1">
      <c r="A3233" s="2" t="s">
        <v>7683</v>
      </c>
      <c r="B3233" s="2" t="s">
        <v>7684</v>
      </c>
      <c r="C3233" s="2" t="s">
        <v>26</v>
      </c>
      <c r="D3233" s="2" t="s">
        <v>27</v>
      </c>
      <c r="E3233" s="5">
        <v>-29750</v>
      </c>
      <c r="F3233" s="3" t="s">
        <v>384</v>
      </c>
      <c r="G3233" s="3" t="s">
        <v>59</v>
      </c>
      <c r="H3233" s="2" t="s">
        <v>36</v>
      </c>
      <c r="I3233" s="2" t="s">
        <v>7685</v>
      </c>
      <c r="J3233" s="3" t="str">
        <f>HYPERLINK("https://www.boe.es/gazeta/dias/1818/07/18/pdfs/GMD-1818-86.pdf#page=6","Abrir facsímil")</f>
        <v>Abrir facsímil</v>
      </c>
      <c r="K3233" s="3" t="s">
        <v>38</v>
      </c>
    </row>
    <row r="3234" spans="1:11" ht="42" customHeight="1">
      <c r="A3234" s="2" t="s">
        <v>7686</v>
      </c>
      <c r="B3234" s="2" t="s">
        <v>7687</v>
      </c>
      <c r="C3234" s="2" t="s">
        <v>68</v>
      </c>
      <c r="D3234" s="2" t="s">
        <v>69</v>
      </c>
      <c r="E3234" s="5">
        <v>-29927</v>
      </c>
      <c r="F3234" s="3" t="s">
        <v>1381</v>
      </c>
      <c r="G3234" s="3" t="s">
        <v>45</v>
      </c>
      <c r="H3234" s="2" t="s">
        <v>36</v>
      </c>
      <c r="I3234" s="2" t="s">
        <v>7688</v>
      </c>
      <c r="J3234" s="3" t="str">
        <f>HYPERLINK("https://www.boe.es/gazeta/dias/1818/01/22/pdfs/GMD-1818-10.pdf#page=8","Abrir facsímil")</f>
        <v>Abrir facsímil</v>
      </c>
      <c r="K3234" s="3" t="s">
        <v>38</v>
      </c>
    </row>
    <row r="3235" spans="1:11" ht="42" customHeight="1">
      <c r="A3235" s="2" t="s">
        <v>7686</v>
      </c>
      <c r="B3235" s="2" t="s">
        <v>7687</v>
      </c>
      <c r="C3235" s="2" t="s">
        <v>68</v>
      </c>
      <c r="D3235" s="2" t="s">
        <v>69</v>
      </c>
      <c r="E3235" s="5">
        <v>-29908</v>
      </c>
      <c r="F3235" s="3" t="s">
        <v>695</v>
      </c>
      <c r="G3235" s="3" t="s">
        <v>20</v>
      </c>
      <c r="H3235" s="2" t="s">
        <v>36</v>
      </c>
      <c r="I3235" s="2" t="s">
        <v>7689</v>
      </c>
      <c r="J3235" s="3" t="str">
        <f>HYPERLINK("https://www.boe.es/gazeta/dias/1818/02/10/pdfs/GMD-1818-18.pdf#page=7","Abrir facsímil")</f>
        <v>Abrir facsímil</v>
      </c>
      <c r="K3235" s="3" t="s">
        <v>38</v>
      </c>
    </row>
    <row r="3236" spans="1:11" ht="42" customHeight="1">
      <c r="A3236" s="2" t="s">
        <v>7686</v>
      </c>
      <c r="B3236" s="2" t="s">
        <v>7687</v>
      </c>
      <c r="C3236" s="2" t="s">
        <v>68</v>
      </c>
      <c r="D3236" s="2" t="s">
        <v>69</v>
      </c>
      <c r="E3236" s="5">
        <v>-29899</v>
      </c>
      <c r="F3236" s="3" t="s">
        <v>232</v>
      </c>
      <c r="G3236" s="3" t="s">
        <v>45</v>
      </c>
      <c r="H3236" s="2" t="s">
        <v>36</v>
      </c>
      <c r="I3236" s="2" t="s">
        <v>7690</v>
      </c>
      <c r="J3236" s="3" t="str">
        <f>HYPERLINK("https://www.boe.es/gazeta/dias/1818/02/19/pdfs/GMD-1818-22.pdf#page=8","Abrir facsímil")</f>
        <v>Abrir facsímil</v>
      </c>
      <c r="K3236" s="3" t="s">
        <v>38</v>
      </c>
    </row>
    <row r="3237" spans="1:11" ht="42" customHeight="1">
      <c r="A3237" s="2" t="s">
        <v>7686</v>
      </c>
      <c r="B3237" s="2" t="s">
        <v>7687</v>
      </c>
      <c r="C3237" s="2" t="s">
        <v>68</v>
      </c>
      <c r="D3237" s="2" t="s">
        <v>69</v>
      </c>
      <c r="E3237" s="5">
        <v>-29887</v>
      </c>
      <c r="F3237" s="3" t="s">
        <v>613</v>
      </c>
      <c r="G3237" s="3" t="s">
        <v>2554</v>
      </c>
      <c r="H3237" s="2" t="s">
        <v>36</v>
      </c>
      <c r="I3237" s="2" t="s">
        <v>7691</v>
      </c>
      <c r="J3237" s="3" t="str">
        <f>HYPERLINK("https://www.boe.es/gazeta/dias/1818/03/03/pdfs/GMD-1818-27.pdf#page=8","Abrir facsímil")</f>
        <v>Abrir facsímil</v>
      </c>
      <c r="K3237" s="3" t="s">
        <v>38</v>
      </c>
    </row>
    <row r="3238" spans="1:11" ht="42" customHeight="1">
      <c r="A3238" s="2" t="s">
        <v>7686</v>
      </c>
      <c r="B3238" s="2" t="s">
        <v>7687</v>
      </c>
      <c r="C3238" s="2" t="s">
        <v>68</v>
      </c>
      <c r="D3238" s="2" t="s">
        <v>69</v>
      </c>
      <c r="E3238" s="5">
        <v>-29855</v>
      </c>
      <c r="F3238" s="3" t="s">
        <v>676</v>
      </c>
      <c r="G3238" s="3" t="s">
        <v>45</v>
      </c>
      <c r="H3238" s="2" t="s">
        <v>36</v>
      </c>
      <c r="I3238" s="2" t="s">
        <v>7692</v>
      </c>
      <c r="J3238" s="3" t="str">
        <f>HYPERLINK("https://www.boe.es/gazeta/dias/1818/04/04/pdfs/GMD-1818-41.pdf#page=8","Abrir facsímil")</f>
        <v>Abrir facsímil</v>
      </c>
      <c r="K3238" s="3" t="s">
        <v>38</v>
      </c>
    </row>
    <row r="3239" spans="1:11" ht="42" customHeight="1">
      <c r="A3239" s="2" t="s">
        <v>7686</v>
      </c>
      <c r="B3239" s="2" t="s">
        <v>7687</v>
      </c>
      <c r="C3239" s="2" t="s">
        <v>68</v>
      </c>
      <c r="D3239" s="2" t="s">
        <v>69</v>
      </c>
      <c r="E3239" s="5">
        <v>-29820</v>
      </c>
      <c r="F3239" s="3" t="s">
        <v>2971</v>
      </c>
      <c r="G3239" s="3" t="s">
        <v>20</v>
      </c>
      <c r="H3239" s="2" t="s">
        <v>36</v>
      </c>
      <c r="I3239" s="2" t="s">
        <v>7693</v>
      </c>
      <c r="J3239" s="3" t="str">
        <f>HYPERLINK("https://www.boe.es/gazeta/dias/1818/05/09/pdfs/GMD-1818-56.pdf#page=7","Abrir facsímil")</f>
        <v>Abrir facsímil</v>
      </c>
      <c r="K3239" s="3" t="s">
        <v>38</v>
      </c>
    </row>
    <row r="3240" spans="1:11" ht="42" customHeight="1">
      <c r="A3240" s="2" t="s">
        <v>7686</v>
      </c>
      <c r="B3240" s="2" t="s">
        <v>7687</v>
      </c>
      <c r="C3240" s="2" t="s">
        <v>68</v>
      </c>
      <c r="D3240" s="2" t="s">
        <v>69</v>
      </c>
      <c r="E3240" s="5">
        <v>-29722</v>
      </c>
      <c r="F3240" s="3" t="s">
        <v>1127</v>
      </c>
      <c r="G3240" s="3" t="s">
        <v>45</v>
      </c>
      <c r="H3240" s="2" t="s">
        <v>36</v>
      </c>
      <c r="I3240" s="2" t="s">
        <v>7694</v>
      </c>
      <c r="J3240" s="3" t="str">
        <f>HYPERLINK("https://www.boe.es/gazeta/dias/1818/08/15/pdfs/GMD-1818-98.pdf#page=8","Abrir facsímil")</f>
        <v>Abrir facsímil</v>
      </c>
      <c r="K3240" s="3" t="s">
        <v>38</v>
      </c>
    </row>
    <row r="3241" spans="1:11" ht="42" customHeight="1">
      <c r="A3241" s="2" t="s">
        <v>7686</v>
      </c>
      <c r="B3241" s="2" t="s">
        <v>7687</v>
      </c>
      <c r="C3241" s="2" t="s">
        <v>68</v>
      </c>
      <c r="D3241" s="2" t="s">
        <v>69</v>
      </c>
      <c r="E3241" s="5">
        <v>-29666</v>
      </c>
      <c r="F3241" s="3" t="s">
        <v>258</v>
      </c>
      <c r="G3241" s="3" t="s">
        <v>259</v>
      </c>
      <c r="H3241" s="2" t="s">
        <v>36</v>
      </c>
      <c r="I3241" s="2" t="s">
        <v>7695</v>
      </c>
      <c r="J3241" s="3" t="str">
        <f>HYPERLINK("https://www.boe.es/gazeta/dias/1818/10/10/pdfs/GMD-1818-122.pdf#page=8","Abrir facsímil")</f>
        <v>Abrir facsímil</v>
      </c>
      <c r="K3241" s="3" t="s">
        <v>38</v>
      </c>
    </row>
    <row r="3242" spans="1:11" ht="42" customHeight="1">
      <c r="A3242" s="2" t="s">
        <v>7686</v>
      </c>
      <c r="B3242" s="2" t="s">
        <v>7687</v>
      </c>
      <c r="C3242" s="2" t="s">
        <v>68</v>
      </c>
      <c r="D3242" s="2" t="s">
        <v>69</v>
      </c>
      <c r="E3242" s="5">
        <v>-29661</v>
      </c>
      <c r="F3242" s="3" t="s">
        <v>348</v>
      </c>
      <c r="G3242" s="3" t="s">
        <v>349</v>
      </c>
      <c r="H3242" s="2" t="s">
        <v>36</v>
      </c>
      <c r="I3242" s="2" t="s">
        <v>7696</v>
      </c>
      <c r="J3242" s="3" t="str">
        <f>HYPERLINK("https://www.boe.es/gazeta/dias/1818/10/15/pdfs/GMD-1818-124.pdf#page=8","Abrir facsímil")</f>
        <v>Abrir facsímil</v>
      </c>
      <c r="K3242" s="3" t="s">
        <v>38</v>
      </c>
    </row>
    <row r="3243" spans="1:11" ht="42" customHeight="1">
      <c r="A3243" s="2" t="s">
        <v>7686</v>
      </c>
      <c r="B3243" s="2" t="s">
        <v>7687</v>
      </c>
      <c r="C3243" s="2" t="s">
        <v>68</v>
      </c>
      <c r="D3243" s="2" t="s">
        <v>69</v>
      </c>
      <c r="E3243" s="5">
        <v>-29649</v>
      </c>
      <c r="F3243" s="3" t="s">
        <v>585</v>
      </c>
      <c r="G3243" s="3" t="s">
        <v>45</v>
      </c>
      <c r="H3243" s="2" t="s">
        <v>36</v>
      </c>
      <c r="I3243" s="2" t="s">
        <v>7697</v>
      </c>
      <c r="J3243" s="3" t="str">
        <f>HYPERLINK("https://www.boe.es/gazeta/dias/1818/10/27/pdfs/GMD-1818-130.pdf#page=8","Abrir facsímil")</f>
        <v>Abrir facsímil</v>
      </c>
      <c r="K3243" s="3" t="s">
        <v>38</v>
      </c>
    </row>
    <row r="3244" spans="1:11" ht="42" customHeight="1">
      <c r="A3244" s="2" t="s">
        <v>7686</v>
      </c>
      <c r="B3244" s="2" t="s">
        <v>7687</v>
      </c>
      <c r="C3244" s="2" t="s">
        <v>68</v>
      </c>
      <c r="D3244" s="2" t="s">
        <v>69</v>
      </c>
      <c r="E3244" s="5">
        <v>-29624</v>
      </c>
      <c r="F3244" s="3" t="s">
        <v>131</v>
      </c>
      <c r="G3244" s="3" t="s">
        <v>45</v>
      </c>
      <c r="H3244" s="2" t="s">
        <v>36</v>
      </c>
      <c r="I3244" s="2" t="s">
        <v>7698</v>
      </c>
      <c r="J3244" s="3" t="str">
        <f>HYPERLINK("https://www.boe.es/gazeta/dias/1818/11/21/pdfs/GMD-1818-141.pdf#page=8","Abrir facsímil")</f>
        <v>Abrir facsímil</v>
      </c>
      <c r="K3244" s="3" t="s">
        <v>38</v>
      </c>
    </row>
    <row r="3245" spans="1:11" ht="42" customHeight="1">
      <c r="A3245" s="2" t="s">
        <v>7686</v>
      </c>
      <c r="B3245" s="2" t="s">
        <v>7687</v>
      </c>
      <c r="C3245" s="2" t="s">
        <v>68</v>
      </c>
      <c r="D3245" s="2" t="s">
        <v>69</v>
      </c>
      <c r="E3245" s="5">
        <v>-29621</v>
      </c>
      <c r="F3245" s="3" t="s">
        <v>1561</v>
      </c>
      <c r="G3245" s="3" t="s">
        <v>45</v>
      </c>
      <c r="H3245" s="2" t="s">
        <v>36</v>
      </c>
      <c r="I3245" s="2" t="s">
        <v>7699</v>
      </c>
      <c r="J3245" s="3" t="str">
        <f>HYPERLINK("https://www.boe.es/gazeta/dias/1818/11/24/pdfs/GMD-1818-142.pdf#page=8","Abrir facsímil")</f>
        <v>Abrir facsímil</v>
      </c>
      <c r="K3245" s="3" t="s">
        <v>38</v>
      </c>
    </row>
    <row r="3246" spans="1:11" ht="42" customHeight="1">
      <c r="A3246" s="2" t="s">
        <v>7686</v>
      </c>
      <c r="B3246" s="2" t="s">
        <v>7687</v>
      </c>
      <c r="C3246" s="2" t="s">
        <v>68</v>
      </c>
      <c r="D3246" s="2" t="s">
        <v>69</v>
      </c>
      <c r="E3246" s="5">
        <v>-29617</v>
      </c>
      <c r="F3246" s="3" t="s">
        <v>995</v>
      </c>
      <c r="G3246" s="3" t="s">
        <v>45</v>
      </c>
      <c r="H3246" s="2" t="s">
        <v>36</v>
      </c>
      <c r="I3246" s="2" t="s">
        <v>7700</v>
      </c>
      <c r="J3246" s="3" t="str">
        <f>HYPERLINK("https://www.boe.es/gazeta/dias/1818/11/28/pdfs/GMD-1818-144.pdf#page=8","Abrir facsímil")</f>
        <v>Abrir facsímil</v>
      </c>
      <c r="K3246" s="3" t="s">
        <v>38</v>
      </c>
    </row>
    <row r="3247" spans="1:11" ht="42" customHeight="1">
      <c r="A3247" s="2" t="s">
        <v>7686</v>
      </c>
      <c r="B3247" s="2" t="s">
        <v>7687</v>
      </c>
      <c r="C3247" s="2" t="s">
        <v>68</v>
      </c>
      <c r="D3247" s="2" t="s">
        <v>69</v>
      </c>
      <c r="E3247" s="5">
        <v>-29593</v>
      </c>
      <c r="F3247" s="3" t="s">
        <v>185</v>
      </c>
      <c r="G3247" s="3" t="s">
        <v>45</v>
      </c>
      <c r="H3247" s="2" t="s">
        <v>36</v>
      </c>
      <c r="I3247" s="2" t="s">
        <v>7701</v>
      </c>
      <c r="J3247" s="3" t="str">
        <f>HYPERLINK("https://www.boe.es/gazeta/dias/1818/12/22/pdfs/GMD-1818-154.pdf#page=8","Abrir facsímil")</f>
        <v>Abrir facsímil</v>
      </c>
      <c r="K3247" s="3" t="s">
        <v>38</v>
      </c>
    </row>
    <row r="3248" spans="1:11" ht="42" customHeight="1">
      <c r="A3248" s="2" t="s">
        <v>7702</v>
      </c>
      <c r="B3248" s="2" t="s">
        <v>7703</v>
      </c>
      <c r="C3248" s="2" t="s">
        <v>26</v>
      </c>
      <c r="D3248" s="2" t="s">
        <v>27</v>
      </c>
      <c r="E3248" s="5">
        <v>-29897</v>
      </c>
      <c r="F3248" s="3" t="s">
        <v>318</v>
      </c>
      <c r="G3248" s="3" t="s">
        <v>106</v>
      </c>
      <c r="H3248" s="2" t="s">
        <v>36</v>
      </c>
      <c r="I3248" s="2" t="s">
        <v>7704</v>
      </c>
      <c r="J3248" s="3" t="str">
        <f>HYPERLINK("https://www.boe.es/gazeta/dias/1818/02/21/pdfs/GMD-1818-23.pdf#page=5","Abrir facsímil")</f>
        <v>Abrir facsímil</v>
      </c>
      <c r="K3248" s="3" t="s">
        <v>38</v>
      </c>
    </row>
    <row r="3249" spans="1:11" ht="42" customHeight="1">
      <c r="A3249" s="2" t="s">
        <v>7702</v>
      </c>
      <c r="B3249" s="2" t="s">
        <v>7703</v>
      </c>
      <c r="C3249" s="2" t="s">
        <v>26</v>
      </c>
      <c r="D3249" s="2" t="s">
        <v>27</v>
      </c>
      <c r="E3249" s="5">
        <v>-29887</v>
      </c>
      <c r="F3249" s="3" t="s">
        <v>613</v>
      </c>
      <c r="G3249" s="3" t="s">
        <v>59</v>
      </c>
      <c r="H3249" s="2" t="s">
        <v>36</v>
      </c>
      <c r="I3249" s="2" t="s">
        <v>7705</v>
      </c>
      <c r="J3249" s="3" t="str">
        <f>HYPERLINK("https://www.boe.es/gazeta/dias/1818/03/03/pdfs/GMD-1818-27.pdf#page=6","Abrir facsímil")</f>
        <v>Abrir facsímil</v>
      </c>
      <c r="K3249" s="3" t="s">
        <v>38</v>
      </c>
    </row>
    <row r="3250" spans="1:11" ht="42" customHeight="1">
      <c r="A3250" s="2" t="s">
        <v>7706</v>
      </c>
      <c r="B3250" s="2" t="s">
        <v>7707</v>
      </c>
      <c r="C3250" s="2" t="s">
        <v>26</v>
      </c>
      <c r="D3250" s="2" t="s">
        <v>27</v>
      </c>
      <c r="E3250" s="5">
        <v>-29831</v>
      </c>
      <c r="F3250" s="3" t="s">
        <v>567</v>
      </c>
      <c r="G3250" s="3" t="s">
        <v>45</v>
      </c>
      <c r="H3250" s="2" t="s">
        <v>36</v>
      </c>
      <c r="I3250" s="2" t="s">
        <v>7708</v>
      </c>
      <c r="J3250" s="3" t="str">
        <f>HYPERLINK("https://www.boe.es/gazeta/dias/1818/04/28/pdfs/GMD-1818-51.pdf#page=8","Abrir facsímil")</f>
        <v>Abrir facsímil</v>
      </c>
      <c r="K3250" s="3" t="s">
        <v>38</v>
      </c>
    </row>
    <row r="3251" spans="1:11" ht="42" customHeight="1">
      <c r="A3251" s="2" t="s">
        <v>7709</v>
      </c>
      <c r="B3251" s="2" t="s">
        <v>7710</v>
      </c>
      <c r="C3251" s="2" t="s">
        <v>17</v>
      </c>
      <c r="D3251" s="2" t="s">
        <v>18</v>
      </c>
      <c r="E3251" s="5">
        <v>-29631</v>
      </c>
      <c r="F3251" s="3" t="s">
        <v>743</v>
      </c>
      <c r="G3251" s="3" t="s">
        <v>59</v>
      </c>
      <c r="H3251" s="2" t="s">
        <v>36</v>
      </c>
      <c r="I3251" s="2" t="s">
        <v>7711</v>
      </c>
      <c r="J3251" s="3" t="str">
        <f>HYPERLINK("https://www.boe.es/gazeta/dias/1818/11/14/pdfs/GMD-1818-138.pdf#page=6","Abrir facsímil")</f>
        <v>Abrir facsímil</v>
      </c>
      <c r="K3251" s="3" t="s">
        <v>38</v>
      </c>
    </row>
    <row r="3252" spans="1:11" ht="42" customHeight="1">
      <c r="A3252" s="2" t="s">
        <v>7712</v>
      </c>
      <c r="B3252" s="2" t="s">
        <v>7713</v>
      </c>
      <c r="C3252" s="2" t="s">
        <v>26</v>
      </c>
      <c r="D3252" s="2" t="s">
        <v>27</v>
      </c>
      <c r="E3252" s="5">
        <v>-29771</v>
      </c>
      <c r="F3252" s="3" t="s">
        <v>1260</v>
      </c>
      <c r="G3252" s="3" t="s">
        <v>85</v>
      </c>
      <c r="H3252" s="2" t="s">
        <v>36</v>
      </c>
      <c r="I3252" s="2" t="s">
        <v>7714</v>
      </c>
      <c r="J3252" s="3" t="str">
        <f>HYPERLINK("https://www.boe.es/gazeta/dias/1818/06/27/pdfs/GMD-1818-77.pdf#page=3","Abrir facsímil")</f>
        <v>Abrir facsímil</v>
      </c>
      <c r="K3252" s="3" t="s">
        <v>38</v>
      </c>
    </row>
    <row r="3253" spans="1:11" ht="42" customHeight="1">
      <c r="A3253" s="2" t="s">
        <v>7715</v>
      </c>
      <c r="B3253" s="2" t="s">
        <v>7715</v>
      </c>
      <c r="C3253" s="2" t="s">
        <v>33</v>
      </c>
      <c r="D3253" s="2" t="s">
        <v>18</v>
      </c>
      <c r="E3253" s="5">
        <v>-29736</v>
      </c>
      <c r="F3253" s="3" t="s">
        <v>581</v>
      </c>
      <c r="G3253" s="3" t="s">
        <v>20</v>
      </c>
      <c r="H3253" s="2" t="s">
        <v>36</v>
      </c>
      <c r="I3253" s="2" t="s">
        <v>7716</v>
      </c>
      <c r="J3253" s="3" t="str">
        <f>HYPERLINK("https://www.boe.es/gazeta/dias/1818/08/01/pdfs/GMD-1818-92.pdf#page=7","Abrir facsímil")</f>
        <v>Abrir facsímil</v>
      </c>
      <c r="K3253" s="3" t="s">
        <v>38</v>
      </c>
    </row>
    <row r="3254" spans="1:11" ht="42" customHeight="1">
      <c r="A3254" s="2" t="s">
        <v>7717</v>
      </c>
      <c r="B3254" s="2" t="s">
        <v>7718</v>
      </c>
      <c r="C3254" s="2" t="s">
        <v>26</v>
      </c>
      <c r="D3254" s="2" t="s">
        <v>27</v>
      </c>
      <c r="E3254" s="5">
        <v>-29810</v>
      </c>
      <c r="F3254" s="3" t="s">
        <v>222</v>
      </c>
      <c r="G3254" s="3" t="s">
        <v>45</v>
      </c>
      <c r="H3254" s="2" t="s">
        <v>21</v>
      </c>
      <c r="I3254" s="2" t="s">
        <v>7719</v>
      </c>
      <c r="J3254" s="3" t="str">
        <f>HYPERLINK("https://www.boe.es/gazeta/dias/1818/05/19/pdfs/GMD-1818-60.pdf#page=8","Abrir facsímil")</f>
        <v>Abrir facsímil</v>
      </c>
      <c r="K3254" s="3" t="s">
        <v>23</v>
      </c>
    </row>
    <row r="3255" spans="1:11" ht="42" customHeight="1">
      <c r="A3255" s="2" t="s">
        <v>7720</v>
      </c>
      <c r="B3255" s="2" t="s">
        <v>7721</v>
      </c>
      <c r="C3255" s="2" t="s">
        <v>17</v>
      </c>
      <c r="D3255" s="2" t="s">
        <v>18</v>
      </c>
      <c r="E3255" s="5">
        <v>-29628</v>
      </c>
      <c r="F3255" s="3" t="s">
        <v>58</v>
      </c>
      <c r="G3255" s="3" t="s">
        <v>59</v>
      </c>
      <c r="H3255" s="2" t="s">
        <v>21</v>
      </c>
      <c r="I3255" s="2" t="s">
        <v>7722</v>
      </c>
      <c r="J3255" s="3" t="str">
        <f>HYPERLINK("https://www.boe.es/gazeta/dias/1818/11/17/pdfs/GMD-1818-139.pdf#page=6","Abrir facsímil")</f>
        <v>Abrir facsímil</v>
      </c>
      <c r="K3255" s="3" t="s">
        <v>23</v>
      </c>
    </row>
    <row r="3256" spans="1:11" ht="42" customHeight="1">
      <c r="A3256" s="2" t="s">
        <v>7723</v>
      </c>
      <c r="B3256" s="2" t="s">
        <v>7724</v>
      </c>
      <c r="C3256" s="2" t="s">
        <v>68</v>
      </c>
      <c r="D3256" s="2" t="s">
        <v>69</v>
      </c>
      <c r="E3256" s="5">
        <v>-29799</v>
      </c>
      <c r="F3256" s="3" t="s">
        <v>135</v>
      </c>
      <c r="G3256" s="3" t="s">
        <v>20</v>
      </c>
      <c r="H3256" s="2" t="s">
        <v>36</v>
      </c>
      <c r="I3256" s="2" t="s">
        <v>7725</v>
      </c>
      <c r="J3256" s="3" t="str">
        <f>HYPERLINK("https://www.boe.es/gazeta/dias/1818/05/30/pdfs/GMD-1818-65.pdf#page=7","Abrir facsímil")</f>
        <v>Abrir facsímil</v>
      </c>
      <c r="K3256" s="3" t="s">
        <v>38</v>
      </c>
    </row>
    <row r="3257" spans="1:11" ht="42" customHeight="1">
      <c r="A3257" s="2" t="s">
        <v>7726</v>
      </c>
      <c r="B3257" s="2" t="s">
        <v>7727</v>
      </c>
      <c r="C3257" s="2" t="s">
        <v>17</v>
      </c>
      <c r="D3257" s="2" t="s">
        <v>18</v>
      </c>
      <c r="E3257" s="5">
        <v>-29829</v>
      </c>
      <c r="F3257" s="3" t="s">
        <v>44</v>
      </c>
      <c r="G3257" s="3" t="s">
        <v>29</v>
      </c>
      <c r="H3257" s="2" t="s">
        <v>36</v>
      </c>
      <c r="I3257" s="2" t="s">
        <v>7728</v>
      </c>
      <c r="J3257" s="3" t="str">
        <f>HYPERLINK("https://www.boe.es/gazeta/dias/1818/04/30/pdfs/GMD-1818-52.pdf#page=4","Abrir facsímil")</f>
        <v>Abrir facsímil</v>
      </c>
      <c r="K3257" s="3" t="s">
        <v>38</v>
      </c>
    </row>
    <row r="3258" spans="1:11" ht="42" customHeight="1">
      <c r="A3258" s="2" t="s">
        <v>7729</v>
      </c>
      <c r="B3258" s="2" t="s">
        <v>7730</v>
      </c>
      <c r="C3258" s="2" t="s">
        <v>26</v>
      </c>
      <c r="D3258" s="2" t="s">
        <v>27</v>
      </c>
      <c r="E3258" s="5">
        <v>-29920</v>
      </c>
      <c r="F3258" s="3" t="s">
        <v>201</v>
      </c>
      <c r="G3258" s="3" t="s">
        <v>116</v>
      </c>
      <c r="H3258" s="2" t="s">
        <v>36</v>
      </c>
      <c r="I3258" s="2" t="s">
        <v>7731</v>
      </c>
      <c r="J3258" s="3" t="str">
        <f>HYPERLINK("https://www.boe.es/gazeta/dias/1818/01/29/pdfs/GMD-1818-13.pdf#page=12","Abrir facsímil")</f>
        <v>Abrir facsímil</v>
      </c>
      <c r="K3258" s="3" t="s">
        <v>38</v>
      </c>
    </row>
    <row r="3259" spans="1:11" ht="42" customHeight="1">
      <c r="A3259" s="2" t="s">
        <v>7729</v>
      </c>
      <c r="B3259" s="2" t="s">
        <v>7730</v>
      </c>
      <c r="C3259" s="2" t="s">
        <v>33</v>
      </c>
      <c r="D3259" s="2" t="s">
        <v>18</v>
      </c>
      <c r="E3259" s="5">
        <v>-29918</v>
      </c>
      <c r="F3259" s="3" t="s">
        <v>89</v>
      </c>
      <c r="G3259" s="3" t="s">
        <v>366</v>
      </c>
      <c r="H3259" s="2" t="s">
        <v>36</v>
      </c>
      <c r="I3259" s="2" t="s">
        <v>7732</v>
      </c>
      <c r="J3259" s="3" t="str">
        <f>HYPERLINK("https://www.boe.es/gazeta/dias/1818/01/31/pdfs/GMD-1818-14.pdf#page=5","Abrir facsímil")</f>
        <v>Abrir facsímil</v>
      </c>
      <c r="K3259" s="3" t="s">
        <v>38</v>
      </c>
    </row>
    <row r="3260" spans="1:11" ht="42" customHeight="1">
      <c r="A3260" s="2" t="s">
        <v>7729</v>
      </c>
      <c r="B3260" s="2" t="s">
        <v>7730</v>
      </c>
      <c r="C3260" s="2" t="s">
        <v>26</v>
      </c>
      <c r="D3260" s="2" t="s">
        <v>27</v>
      </c>
      <c r="E3260" s="5">
        <v>-29817</v>
      </c>
      <c r="F3260" s="3" t="s">
        <v>284</v>
      </c>
      <c r="G3260" s="3" t="s">
        <v>106</v>
      </c>
      <c r="H3260" s="2" t="s">
        <v>36</v>
      </c>
      <c r="I3260" s="2" t="s">
        <v>7733</v>
      </c>
      <c r="J3260" s="3" t="str">
        <f>HYPERLINK("https://www.boe.es/gazeta/dias/1818/05/12/pdfs/GMD-1818-57.pdf#page=5","Abrir facsímil")</f>
        <v>Abrir facsímil</v>
      </c>
      <c r="K3260" s="3" t="s">
        <v>38</v>
      </c>
    </row>
    <row r="3261" spans="1:11" ht="42" customHeight="1">
      <c r="A3261" s="2" t="s">
        <v>7729</v>
      </c>
      <c r="B3261" s="2" t="s">
        <v>7730</v>
      </c>
      <c r="C3261" s="2" t="s">
        <v>26</v>
      </c>
      <c r="D3261" s="2" t="s">
        <v>27</v>
      </c>
      <c r="E3261" s="5">
        <v>-29740</v>
      </c>
      <c r="F3261" s="3" t="s">
        <v>152</v>
      </c>
      <c r="G3261" s="3" t="s">
        <v>20</v>
      </c>
      <c r="H3261" s="2" t="s">
        <v>36</v>
      </c>
      <c r="I3261" s="2" t="s">
        <v>7734</v>
      </c>
      <c r="J3261" s="3" t="str">
        <f>HYPERLINK("https://www.boe.es/gazeta/dias/1818/07/28/pdfs/GMD-1818-90.pdf#page=7","Abrir facsímil")</f>
        <v>Abrir facsímil</v>
      </c>
      <c r="K3261" s="3" t="s">
        <v>38</v>
      </c>
    </row>
    <row r="3262" spans="1:11" ht="42" customHeight="1">
      <c r="A3262" s="2" t="s">
        <v>7729</v>
      </c>
      <c r="B3262" s="2" t="s">
        <v>7730</v>
      </c>
      <c r="C3262" s="2" t="s">
        <v>26</v>
      </c>
      <c r="D3262" s="2" t="s">
        <v>27</v>
      </c>
      <c r="E3262" s="5">
        <v>-29738</v>
      </c>
      <c r="F3262" s="3" t="s">
        <v>263</v>
      </c>
      <c r="G3262" s="3" t="s">
        <v>59</v>
      </c>
      <c r="H3262" s="2" t="s">
        <v>36</v>
      </c>
      <c r="I3262" s="2" t="s">
        <v>7735</v>
      </c>
      <c r="J3262" s="3" t="str">
        <f>HYPERLINK("https://www.boe.es/gazeta/dias/1818/07/30/pdfs/GMD-1818-91.pdf#page=6","Abrir facsímil")</f>
        <v>Abrir facsímil</v>
      </c>
      <c r="K3262" s="3" t="s">
        <v>38</v>
      </c>
    </row>
    <row r="3263" spans="1:11" ht="42" customHeight="1">
      <c r="A3263" s="2" t="s">
        <v>7729</v>
      </c>
      <c r="B3263" s="2" t="s">
        <v>7730</v>
      </c>
      <c r="C3263" s="2" t="s">
        <v>26</v>
      </c>
      <c r="D3263" s="2" t="s">
        <v>27</v>
      </c>
      <c r="E3263" s="5">
        <v>-29708</v>
      </c>
      <c r="F3263" s="3" t="s">
        <v>413</v>
      </c>
      <c r="G3263" s="3" t="s">
        <v>29</v>
      </c>
      <c r="H3263" s="2" t="s">
        <v>36</v>
      </c>
      <c r="I3263" s="2" t="s">
        <v>7736</v>
      </c>
      <c r="J3263" s="3" t="str">
        <f>HYPERLINK("https://www.boe.es/gazeta/dias/1818/08/29/pdfs/GMD-1818-104.pdf#page=4","Abrir facsímil")</f>
        <v>Abrir facsímil</v>
      </c>
      <c r="K3263" s="3" t="s">
        <v>38</v>
      </c>
    </row>
    <row r="3264" spans="1:11" ht="42" customHeight="1">
      <c r="A3264" s="2" t="s">
        <v>7729</v>
      </c>
      <c r="B3264" s="2" t="s">
        <v>7730</v>
      </c>
      <c r="C3264" s="2" t="s">
        <v>26</v>
      </c>
      <c r="D3264" s="2" t="s">
        <v>27</v>
      </c>
      <c r="E3264" s="5">
        <v>-29708</v>
      </c>
      <c r="F3264" s="3" t="s">
        <v>413</v>
      </c>
      <c r="G3264" s="3" t="s">
        <v>106</v>
      </c>
      <c r="H3264" s="2" t="s">
        <v>36</v>
      </c>
      <c r="I3264" s="2" t="s">
        <v>7737</v>
      </c>
      <c r="J3264" s="3" t="str">
        <f>HYPERLINK("https://www.boe.es/gazeta/dias/1818/08/29/pdfs/GMD-1818-104.pdf#page=5","Abrir facsímil")</f>
        <v>Abrir facsímil</v>
      </c>
      <c r="K3264" s="3" t="s">
        <v>38</v>
      </c>
    </row>
    <row r="3265" spans="1:11" ht="42" customHeight="1">
      <c r="A3265" s="2" t="s">
        <v>7729</v>
      </c>
      <c r="B3265" s="2" t="s">
        <v>7730</v>
      </c>
      <c r="C3265" s="2" t="s">
        <v>26</v>
      </c>
      <c r="D3265" s="2" t="s">
        <v>27</v>
      </c>
      <c r="E3265" s="5">
        <v>-29705</v>
      </c>
      <c r="F3265" s="3" t="s">
        <v>680</v>
      </c>
      <c r="G3265" s="3" t="s">
        <v>106</v>
      </c>
      <c r="H3265" s="2" t="s">
        <v>36</v>
      </c>
      <c r="I3265" s="2" t="s">
        <v>7738</v>
      </c>
      <c r="J3265" s="3" t="str">
        <f>HYPERLINK("https://www.boe.es/gazeta/dias/1818/09/01/pdfs/GMD-1818-105.pdf#page=5","Abrir facsímil")</f>
        <v>Abrir facsímil</v>
      </c>
      <c r="K3265" s="3" t="s">
        <v>38</v>
      </c>
    </row>
    <row r="3266" spans="1:11" ht="42" customHeight="1">
      <c r="A3266" s="2" t="s">
        <v>7729</v>
      </c>
      <c r="B3266" s="2" t="s">
        <v>7730</v>
      </c>
      <c r="C3266" s="2" t="s">
        <v>26</v>
      </c>
      <c r="D3266" s="2" t="s">
        <v>27</v>
      </c>
      <c r="E3266" s="5">
        <v>-29703</v>
      </c>
      <c r="F3266" s="3" t="s">
        <v>294</v>
      </c>
      <c r="G3266" s="3" t="s">
        <v>29</v>
      </c>
      <c r="H3266" s="2" t="s">
        <v>36</v>
      </c>
      <c r="I3266" s="2" t="s">
        <v>7739</v>
      </c>
      <c r="J3266" s="3" t="str">
        <f>HYPERLINK("https://www.boe.es/gazeta/dias/1818/09/03/pdfs/GMD-1818-106.pdf#page=4","Abrir facsímil")</f>
        <v>Abrir facsímil</v>
      </c>
      <c r="K3266" s="3" t="s">
        <v>38</v>
      </c>
    </row>
    <row r="3267" spans="1:11" ht="42" customHeight="1">
      <c r="A3267" s="2" t="s">
        <v>7740</v>
      </c>
      <c r="B3267" s="2" t="s">
        <v>7741</v>
      </c>
      <c r="C3267" s="2" t="s">
        <v>68</v>
      </c>
      <c r="D3267" s="2" t="s">
        <v>69</v>
      </c>
      <c r="E3267" s="5">
        <v>-29663</v>
      </c>
      <c r="F3267" s="3" t="s">
        <v>1011</v>
      </c>
      <c r="G3267" s="3" t="s">
        <v>106</v>
      </c>
      <c r="H3267" s="2" t="s">
        <v>36</v>
      </c>
      <c r="I3267" s="2" t="s">
        <v>7742</v>
      </c>
      <c r="J3267" s="3" t="str">
        <f>HYPERLINK("https://www.boe.es/gazeta/dias/1818/10/13/pdfs/GMD-1818-123.pdf#page=5","Abrir facsímil")</f>
        <v>Abrir facsímil</v>
      </c>
      <c r="K3267" s="3" t="s">
        <v>38</v>
      </c>
    </row>
    <row r="3268" spans="1:11" ht="42" customHeight="1">
      <c r="A3268" s="2" t="s">
        <v>7743</v>
      </c>
      <c r="B3268" s="2" t="s">
        <v>7744</v>
      </c>
      <c r="C3268" s="2" t="s">
        <v>26</v>
      </c>
      <c r="D3268" s="2" t="s">
        <v>27</v>
      </c>
      <c r="E3268" s="5">
        <v>-29934</v>
      </c>
      <c r="F3268" s="3" t="s">
        <v>53</v>
      </c>
      <c r="G3268" s="3" t="s">
        <v>59</v>
      </c>
      <c r="H3268" s="2" t="s">
        <v>36</v>
      </c>
      <c r="I3268" s="2" t="s">
        <v>7745</v>
      </c>
      <c r="J3268" s="3" t="str">
        <f>HYPERLINK("https://www.boe.es/gazeta/dias/1818/01/15/pdfs/GMD-1818-7.pdf#page=6","Abrir facsímil")</f>
        <v>Abrir facsímil</v>
      </c>
      <c r="K3268" s="3" t="s">
        <v>38</v>
      </c>
    </row>
    <row r="3269" spans="1:11" ht="42" customHeight="1">
      <c r="A3269" s="2" t="s">
        <v>7746</v>
      </c>
      <c r="B3269" s="2" t="s">
        <v>7747</v>
      </c>
      <c r="C3269" s="2" t="s">
        <v>17</v>
      </c>
      <c r="D3269" s="2" t="s">
        <v>18</v>
      </c>
      <c r="E3269" s="5">
        <v>-29731</v>
      </c>
      <c r="F3269" s="3" t="s">
        <v>299</v>
      </c>
      <c r="G3269" s="3" t="s">
        <v>29</v>
      </c>
      <c r="H3269" s="2" t="s">
        <v>36</v>
      </c>
      <c r="I3269" s="2" t="s">
        <v>7748</v>
      </c>
      <c r="J3269" s="3" t="str">
        <f>HYPERLINK("https://www.boe.es/gazeta/dias/1818/08/06/pdfs/GMD-1818-94.pdf#page=4","Abrir facsímil")</f>
        <v>Abrir facsímil</v>
      </c>
      <c r="K3269" s="3" t="s">
        <v>38</v>
      </c>
    </row>
    <row r="3270" spans="1:11" ht="42" customHeight="1">
      <c r="A3270" s="2" t="s">
        <v>7749</v>
      </c>
      <c r="B3270" s="2" t="s">
        <v>7750</v>
      </c>
      <c r="C3270" s="2" t="s">
        <v>26</v>
      </c>
      <c r="D3270" s="2" t="s">
        <v>27</v>
      </c>
      <c r="E3270" s="5">
        <v>-29764</v>
      </c>
      <c r="F3270" s="3" t="s">
        <v>464</v>
      </c>
      <c r="G3270" s="3" t="s">
        <v>106</v>
      </c>
      <c r="H3270" s="2" t="s">
        <v>36</v>
      </c>
      <c r="I3270" s="2" t="s">
        <v>7751</v>
      </c>
      <c r="J3270" s="3" t="str">
        <f>HYPERLINK("https://www.boe.es/gazeta/dias/1818/07/04/pdfs/GMD-1818-80.pdf#page=5","Abrir facsímil")</f>
        <v>Abrir facsímil</v>
      </c>
      <c r="K3270" s="3" t="s">
        <v>38</v>
      </c>
    </row>
    <row r="3271" spans="1:11" ht="42" customHeight="1">
      <c r="A3271" s="2" t="s">
        <v>7752</v>
      </c>
      <c r="B3271" s="2" t="s">
        <v>7753</v>
      </c>
      <c r="C3271" s="2" t="s">
        <v>26</v>
      </c>
      <c r="D3271" s="2" t="s">
        <v>27</v>
      </c>
      <c r="E3271" s="5">
        <v>-29701</v>
      </c>
      <c r="F3271" s="3" t="s">
        <v>596</v>
      </c>
      <c r="G3271" s="3" t="s">
        <v>59</v>
      </c>
      <c r="H3271" s="2" t="s">
        <v>36</v>
      </c>
      <c r="I3271" s="2" t="s">
        <v>7754</v>
      </c>
      <c r="J3271" s="3" t="str">
        <f>HYPERLINK("https://www.boe.es/gazeta/dias/1818/09/05/pdfs/GMD-1818-107.pdf#page=6","Abrir facsímil")</f>
        <v>Abrir facsímil</v>
      </c>
      <c r="K3271" s="3" t="s">
        <v>38</v>
      </c>
    </row>
    <row r="3272" spans="1:11" ht="42" customHeight="1">
      <c r="A3272" s="2" t="s">
        <v>7755</v>
      </c>
      <c r="B3272" s="2" t="s">
        <v>7756</v>
      </c>
      <c r="C3272" s="2" t="s">
        <v>63</v>
      </c>
      <c r="D3272" s="2" t="s">
        <v>18</v>
      </c>
      <c r="E3272" s="5">
        <v>-29619</v>
      </c>
      <c r="F3272" s="3" t="s">
        <v>64</v>
      </c>
      <c r="G3272" s="3" t="s">
        <v>20</v>
      </c>
      <c r="H3272" s="2" t="s">
        <v>21</v>
      </c>
      <c r="I3272" s="2" t="s">
        <v>7757</v>
      </c>
      <c r="J3272" s="3" t="str">
        <f>HYPERLINK("https://www.boe.es/gazeta/dias/1818/11/26/pdfs/GMD-1818-143.pdf#page=7","Abrir facsímil")</f>
        <v>Abrir facsímil</v>
      </c>
      <c r="K3272" s="3" t="s">
        <v>23</v>
      </c>
    </row>
    <row r="3273" spans="1:11" ht="42" customHeight="1">
      <c r="A3273" s="2" t="s">
        <v>7758</v>
      </c>
      <c r="B3273" s="2" t="s">
        <v>7759</v>
      </c>
      <c r="C3273" s="2" t="s">
        <v>68</v>
      </c>
      <c r="D3273" s="2" t="s">
        <v>69</v>
      </c>
      <c r="E3273" s="5">
        <v>-29729</v>
      </c>
      <c r="F3273" s="3" t="s">
        <v>488</v>
      </c>
      <c r="G3273" s="3" t="s">
        <v>489</v>
      </c>
      <c r="H3273" s="2" t="s">
        <v>36</v>
      </c>
      <c r="I3273" s="2" t="s">
        <v>7760</v>
      </c>
      <c r="J3273" s="3" t="str">
        <f>HYPERLINK("https://www.boe.es/gazeta/dias/1818/08/08/pdfs/GMD-1818-95.pdf#page=8","Abrir facsímil")</f>
        <v>Abrir facsímil</v>
      </c>
      <c r="K3273" s="3" t="s">
        <v>38</v>
      </c>
    </row>
    <row r="3274" spans="1:11" ht="42" customHeight="1">
      <c r="A3274" s="2" t="s">
        <v>7761</v>
      </c>
      <c r="B3274" s="2" t="s">
        <v>7762</v>
      </c>
      <c r="C3274" s="2" t="s">
        <v>68</v>
      </c>
      <c r="D3274" s="2" t="s">
        <v>69</v>
      </c>
      <c r="E3274" s="5">
        <v>-29750</v>
      </c>
      <c r="F3274" s="3" t="s">
        <v>384</v>
      </c>
      <c r="G3274" s="3" t="s">
        <v>111</v>
      </c>
      <c r="H3274" s="2" t="s">
        <v>36</v>
      </c>
      <c r="I3274" s="2" t="s">
        <v>7763</v>
      </c>
      <c r="J3274" s="3" t="str">
        <f>HYPERLINK("https://www.boe.es/gazeta/dias/1818/07/18/pdfs/GMD-1818-86.pdf#page=11","Abrir facsímil")</f>
        <v>Abrir facsímil</v>
      </c>
      <c r="K3274" s="3" t="s">
        <v>38</v>
      </c>
    </row>
    <row r="3275" spans="1:11" ht="42" customHeight="1">
      <c r="A3275" s="2" t="s">
        <v>7764</v>
      </c>
      <c r="B3275" s="2" t="s">
        <v>7765</v>
      </c>
      <c r="C3275" s="2" t="s">
        <v>68</v>
      </c>
      <c r="D3275" s="2" t="s">
        <v>69</v>
      </c>
      <c r="E3275" s="5">
        <v>-29712</v>
      </c>
      <c r="F3275" s="3" t="s">
        <v>1309</v>
      </c>
      <c r="G3275" s="3" t="s">
        <v>20</v>
      </c>
      <c r="H3275" s="2" t="s">
        <v>36</v>
      </c>
      <c r="I3275" s="2" t="s">
        <v>7766</v>
      </c>
      <c r="J3275" s="3" t="str">
        <f>HYPERLINK("https://www.boe.es/gazeta/dias/1818/08/25/pdfs/GMD-1818-102.pdf#page=7","Abrir facsímil")</f>
        <v>Abrir facsímil</v>
      </c>
      <c r="K3275" s="3" t="s">
        <v>38</v>
      </c>
    </row>
    <row r="3276" spans="1:11" ht="42" customHeight="1">
      <c r="A3276" s="2" t="s">
        <v>7767</v>
      </c>
      <c r="B3276" s="2" t="s">
        <v>7768</v>
      </c>
      <c r="C3276" s="2" t="s">
        <v>26</v>
      </c>
      <c r="D3276" s="2" t="s">
        <v>27</v>
      </c>
      <c r="E3276" s="5">
        <v>-29866</v>
      </c>
      <c r="F3276" s="3" t="s">
        <v>828</v>
      </c>
      <c r="G3276" s="3" t="s">
        <v>29</v>
      </c>
      <c r="H3276" s="2" t="s">
        <v>36</v>
      </c>
      <c r="I3276" s="2" t="s">
        <v>7769</v>
      </c>
      <c r="J3276" s="3" t="str">
        <f>HYPERLINK("https://www.boe.es/gazeta/dias/1818/03/24/pdfs/GMD-1818-36.pdf#page=4","Abrir facsímil")</f>
        <v>Abrir facsímil</v>
      </c>
      <c r="K3276" s="3" t="s">
        <v>38</v>
      </c>
    </row>
    <row r="3277" spans="1:11" ht="42" customHeight="1">
      <c r="A3277" s="2" t="s">
        <v>7770</v>
      </c>
      <c r="B3277" s="2" t="s">
        <v>7770</v>
      </c>
      <c r="C3277" s="2" t="s">
        <v>57</v>
      </c>
      <c r="D3277" s="2" t="s">
        <v>18</v>
      </c>
      <c r="E3277" s="5">
        <v>-29855</v>
      </c>
      <c r="F3277" s="3" t="s">
        <v>676</v>
      </c>
      <c r="G3277" s="3" t="s">
        <v>3515</v>
      </c>
      <c r="H3277" s="2" t="s">
        <v>36</v>
      </c>
      <c r="I3277" s="2" t="s">
        <v>7771</v>
      </c>
      <c r="J3277" s="3" t="str">
        <f>HYPERLINK("https://www.boe.es/gazeta/dias/1818/04/04/pdfs/GMD-1818-41.pdf#page=3","Abrir facsímil")</f>
        <v>Abrir facsímil</v>
      </c>
      <c r="K3277" s="3" t="s">
        <v>38</v>
      </c>
    </row>
    <row r="3278" spans="1:11" ht="42" customHeight="1">
      <c r="A3278" s="2" t="s">
        <v>7772</v>
      </c>
      <c r="B3278" s="2" t="s">
        <v>7773</v>
      </c>
      <c r="C3278" s="2" t="s">
        <v>97</v>
      </c>
      <c r="D3278" s="2" t="s">
        <v>18</v>
      </c>
      <c r="E3278" s="5">
        <v>-29633</v>
      </c>
      <c r="F3278" s="3" t="s">
        <v>2162</v>
      </c>
      <c r="G3278" s="3" t="s">
        <v>45</v>
      </c>
      <c r="H3278" s="2" t="s">
        <v>36</v>
      </c>
      <c r="I3278" s="2" t="s">
        <v>7774</v>
      </c>
      <c r="J3278" s="3" t="str">
        <f>HYPERLINK("https://www.boe.es/gazeta/dias/1818/11/12/pdfs/GMD-1818-137.pdf#page=8","Abrir facsímil")</f>
        <v>Abrir facsímil</v>
      </c>
      <c r="K3278" s="3" t="s">
        <v>38</v>
      </c>
    </row>
    <row r="3279" spans="1:11" ht="42" customHeight="1">
      <c r="A3279" s="2" t="s">
        <v>7775</v>
      </c>
      <c r="B3279" s="2" t="s">
        <v>7776</v>
      </c>
      <c r="C3279" s="2" t="s">
        <v>68</v>
      </c>
      <c r="D3279" s="2" t="s">
        <v>69</v>
      </c>
      <c r="E3279" s="5">
        <v>-29626</v>
      </c>
      <c r="F3279" s="3" t="s">
        <v>496</v>
      </c>
      <c r="G3279" s="3" t="s">
        <v>45</v>
      </c>
      <c r="H3279" s="2" t="s">
        <v>36</v>
      </c>
      <c r="I3279" s="2" t="s">
        <v>7777</v>
      </c>
      <c r="J3279" s="3" t="str">
        <f>HYPERLINK("https://www.boe.es/gazeta/dias/1818/11/19/pdfs/GMD-1818-140.pdf#page=8","Abrir facsímil")</f>
        <v>Abrir facsímil</v>
      </c>
      <c r="K3279" s="3" t="s">
        <v>38</v>
      </c>
    </row>
    <row r="3280" spans="1:11" ht="42" customHeight="1">
      <c r="A3280" s="2" t="s">
        <v>7778</v>
      </c>
      <c r="B3280" s="2" t="s">
        <v>7778</v>
      </c>
      <c r="C3280" s="2" t="s">
        <v>26</v>
      </c>
      <c r="D3280" s="2" t="s">
        <v>27</v>
      </c>
      <c r="E3280" s="5">
        <v>-29754</v>
      </c>
      <c r="F3280" s="3" t="s">
        <v>466</v>
      </c>
      <c r="G3280" s="3" t="s">
        <v>29</v>
      </c>
      <c r="H3280" s="2" t="s">
        <v>36</v>
      </c>
      <c r="I3280" s="2" t="s">
        <v>7779</v>
      </c>
      <c r="J3280" s="3" t="str">
        <f>HYPERLINK("https://www.boe.es/gazeta/dias/1818/07/14/pdfs/GMD-1818-84.pdf#page=4","Abrir facsímil")</f>
        <v>Abrir facsímil</v>
      </c>
      <c r="K3280" s="3" t="s">
        <v>38</v>
      </c>
    </row>
    <row r="3281" spans="1:11" ht="42" customHeight="1">
      <c r="A3281" s="2" t="s">
        <v>7780</v>
      </c>
      <c r="B3281" s="2" t="s">
        <v>7781</v>
      </c>
      <c r="C3281" s="2" t="s">
        <v>68</v>
      </c>
      <c r="D3281" s="2" t="s">
        <v>69</v>
      </c>
      <c r="E3281" s="5">
        <v>-29908</v>
      </c>
      <c r="F3281" s="3" t="s">
        <v>695</v>
      </c>
      <c r="G3281" s="3" t="s">
        <v>20</v>
      </c>
      <c r="H3281" s="2" t="s">
        <v>36</v>
      </c>
      <c r="I3281" s="2" t="s">
        <v>7782</v>
      </c>
      <c r="J3281" s="3" t="str">
        <f>HYPERLINK("https://www.boe.es/gazeta/dias/1818/02/10/pdfs/GMD-1818-18.pdf#page=7","Abrir facsímil")</f>
        <v>Abrir facsímil</v>
      </c>
      <c r="K3281" s="3" t="s">
        <v>38</v>
      </c>
    </row>
    <row r="3282" spans="1:11" ht="42" customHeight="1">
      <c r="A3282" s="2" t="s">
        <v>7783</v>
      </c>
      <c r="B3282" s="2" t="s">
        <v>7784</v>
      </c>
      <c r="C3282" s="2" t="s">
        <v>17</v>
      </c>
      <c r="D3282" s="2" t="s">
        <v>18</v>
      </c>
      <c r="E3282" s="5">
        <v>-29689</v>
      </c>
      <c r="F3282" s="3" t="s">
        <v>303</v>
      </c>
      <c r="G3282" s="3" t="s">
        <v>20</v>
      </c>
      <c r="H3282" s="2" t="s">
        <v>36</v>
      </c>
      <c r="I3282" s="2" t="s">
        <v>7785</v>
      </c>
      <c r="J3282" s="3" t="str">
        <f>HYPERLINK("https://www.boe.es/gazeta/dias/1818/09/17/pdfs/GMD-1818-112.pdf#page=7","Abrir facsímil")</f>
        <v>Abrir facsímil</v>
      </c>
      <c r="K3282" s="3" t="s">
        <v>38</v>
      </c>
    </row>
    <row r="3283" spans="1:11" ht="42" customHeight="1">
      <c r="A3283" s="2" t="s">
        <v>7786</v>
      </c>
      <c r="B3283" s="2" t="s">
        <v>7787</v>
      </c>
      <c r="C3283" s="2" t="s">
        <v>68</v>
      </c>
      <c r="D3283" s="2" t="s">
        <v>69</v>
      </c>
      <c r="E3283" s="5">
        <v>-29717</v>
      </c>
      <c r="F3283" s="3" t="s">
        <v>1644</v>
      </c>
      <c r="G3283" s="3" t="s">
        <v>85</v>
      </c>
      <c r="H3283" s="2" t="s">
        <v>21</v>
      </c>
      <c r="I3283" s="2" t="s">
        <v>7788</v>
      </c>
      <c r="J3283" s="3" t="str">
        <f>HYPERLINK("https://www.boe.es/gazeta/dias/1818/08/20/pdfs/GMD-1818-100.pdf#page=3","Abrir facsímil")</f>
        <v>Abrir facsímil</v>
      </c>
      <c r="K3283" s="3" t="s">
        <v>23</v>
      </c>
    </row>
    <row r="3284" spans="1:11" ht="42" customHeight="1">
      <c r="A3284" s="2" t="s">
        <v>7789</v>
      </c>
      <c r="B3284" s="2" t="s">
        <v>7790</v>
      </c>
      <c r="C3284" s="2" t="s">
        <v>17</v>
      </c>
      <c r="D3284" s="2" t="s">
        <v>18</v>
      </c>
      <c r="E3284" s="5">
        <v>-29906</v>
      </c>
      <c r="F3284" s="3" t="s">
        <v>28</v>
      </c>
      <c r="G3284" s="3" t="s">
        <v>20</v>
      </c>
      <c r="H3284" s="2" t="s">
        <v>36</v>
      </c>
      <c r="I3284" s="2" t="s">
        <v>7791</v>
      </c>
      <c r="J3284" s="3" t="str">
        <f>HYPERLINK("https://www.boe.es/gazeta/dias/1818/02/12/pdfs/GMD-1818-19.pdf#page=7","Abrir facsímil")</f>
        <v>Abrir facsímil</v>
      </c>
      <c r="K3284" s="3" t="s">
        <v>38</v>
      </c>
    </row>
    <row r="3285" spans="1:11" ht="42" customHeight="1">
      <c r="A3285" s="2" t="s">
        <v>7792</v>
      </c>
      <c r="B3285" s="2" t="s">
        <v>7793</v>
      </c>
      <c r="C3285" s="2" t="s">
        <v>215</v>
      </c>
      <c r="D3285" s="2" t="s">
        <v>18</v>
      </c>
      <c r="E3285" s="5">
        <v>-29682</v>
      </c>
      <c r="F3285" s="3" t="s">
        <v>170</v>
      </c>
      <c r="G3285" s="3" t="s">
        <v>20</v>
      </c>
      <c r="H3285" s="2" t="s">
        <v>36</v>
      </c>
      <c r="I3285" s="2" t="s">
        <v>7794</v>
      </c>
      <c r="J3285" s="3" t="str">
        <f>HYPERLINK("https://www.boe.es/gazeta/dias/1818/09/24/pdfs/GMD-1818-115.pdf#page=7","Abrir facsímil")</f>
        <v>Abrir facsímil</v>
      </c>
      <c r="K3285" s="3" t="s">
        <v>38</v>
      </c>
    </row>
    <row r="3286" spans="1:11" ht="42" customHeight="1">
      <c r="A3286" s="2" t="s">
        <v>7795</v>
      </c>
      <c r="B3286" s="2" t="s">
        <v>7796</v>
      </c>
      <c r="C3286" s="2" t="s">
        <v>26</v>
      </c>
      <c r="D3286" s="2" t="s">
        <v>27</v>
      </c>
      <c r="E3286" s="5">
        <v>-29857</v>
      </c>
      <c r="F3286" s="3" t="s">
        <v>831</v>
      </c>
      <c r="G3286" s="3" t="s">
        <v>59</v>
      </c>
      <c r="H3286" s="2" t="s">
        <v>36</v>
      </c>
      <c r="I3286" s="2" t="s">
        <v>7797</v>
      </c>
      <c r="J3286" s="3" t="str">
        <f>HYPERLINK("https://www.boe.es/gazeta/dias/1818/04/02/pdfs/GMD-1818-40.pdf#page=6","Abrir facsímil")</f>
        <v>Abrir facsímil</v>
      </c>
      <c r="K3286" s="3" t="s">
        <v>38</v>
      </c>
    </row>
    <row r="3287" spans="1:11" ht="42" customHeight="1">
      <c r="A3287" s="2" t="s">
        <v>7798</v>
      </c>
      <c r="B3287" s="2" t="s">
        <v>7799</v>
      </c>
      <c r="C3287" s="2" t="s">
        <v>17</v>
      </c>
      <c r="D3287" s="2" t="s">
        <v>18</v>
      </c>
      <c r="E3287" s="5">
        <v>-29645</v>
      </c>
      <c r="F3287" s="3" t="s">
        <v>577</v>
      </c>
      <c r="G3287" s="3" t="s">
        <v>45</v>
      </c>
      <c r="H3287" s="2" t="s">
        <v>36</v>
      </c>
      <c r="I3287" s="2" t="s">
        <v>7800</v>
      </c>
      <c r="J3287" s="3" t="str">
        <f>HYPERLINK("https://www.boe.es/gazeta/dias/1818/10/31/pdfs/GMD-1818-132.pdf#page=8","Abrir facsímil")</f>
        <v>Abrir facsímil</v>
      </c>
      <c r="K3287" s="3" t="s">
        <v>38</v>
      </c>
    </row>
    <row r="3288" spans="1:11" ht="42" customHeight="1">
      <c r="A3288" s="2" t="s">
        <v>7801</v>
      </c>
      <c r="B3288" s="2" t="s">
        <v>7801</v>
      </c>
      <c r="C3288" s="2" t="s">
        <v>26</v>
      </c>
      <c r="D3288" s="2" t="s">
        <v>27</v>
      </c>
      <c r="E3288" s="5">
        <v>-29897</v>
      </c>
      <c r="F3288" s="3" t="s">
        <v>318</v>
      </c>
      <c r="G3288" s="3" t="s">
        <v>29</v>
      </c>
      <c r="H3288" s="2" t="s">
        <v>36</v>
      </c>
      <c r="I3288" s="2" t="s">
        <v>7802</v>
      </c>
      <c r="J3288" s="3" t="str">
        <f>HYPERLINK("https://www.boe.es/gazeta/dias/1818/02/21/pdfs/GMD-1818-23.pdf#page=4","Abrir facsímil")</f>
        <v>Abrir facsímil</v>
      </c>
      <c r="K3288" s="3" t="s">
        <v>38</v>
      </c>
    </row>
    <row r="3289" spans="1:11" ht="42" customHeight="1">
      <c r="A3289" s="2" t="s">
        <v>7803</v>
      </c>
      <c r="B3289" s="2" t="s">
        <v>7804</v>
      </c>
      <c r="C3289" s="2" t="s">
        <v>215</v>
      </c>
      <c r="D3289" s="2" t="s">
        <v>18</v>
      </c>
      <c r="E3289" s="5">
        <v>-29939</v>
      </c>
      <c r="F3289" s="3" t="s">
        <v>110</v>
      </c>
      <c r="G3289" s="3" t="s">
        <v>111</v>
      </c>
      <c r="H3289" s="2" t="s">
        <v>36</v>
      </c>
      <c r="I3289" s="2" t="s">
        <v>7805</v>
      </c>
      <c r="J3289" s="3" t="str">
        <f>HYPERLINK("https://www.boe.es/gazeta/dias/1818/01/10/pdfs/GMD-1818-5.pdf#page=11","Abrir facsímil")</f>
        <v>Abrir facsímil</v>
      </c>
      <c r="K3289" s="3" t="s">
        <v>38</v>
      </c>
    </row>
    <row r="3290" spans="1:11" ht="42" customHeight="1">
      <c r="A3290" s="2" t="s">
        <v>7806</v>
      </c>
      <c r="B3290" s="2" t="s">
        <v>7807</v>
      </c>
      <c r="C3290" s="2" t="s">
        <v>68</v>
      </c>
      <c r="D3290" s="2" t="s">
        <v>69</v>
      </c>
      <c r="E3290" s="5">
        <v>-29675</v>
      </c>
      <c r="F3290" s="3" t="s">
        <v>2314</v>
      </c>
      <c r="G3290" s="3" t="s">
        <v>45</v>
      </c>
      <c r="H3290" s="2" t="s">
        <v>36</v>
      </c>
      <c r="I3290" s="2" t="s">
        <v>7808</v>
      </c>
      <c r="J3290" s="3" t="str">
        <f>HYPERLINK("https://www.boe.es/gazeta/dias/1818/10/01/pdfs/GMD-1818-118.pdf#page=8","Abrir facsímil")</f>
        <v>Abrir facsímil</v>
      </c>
      <c r="K3290" s="3" t="s">
        <v>38</v>
      </c>
    </row>
    <row r="3291" spans="1:11" ht="42" customHeight="1">
      <c r="A3291" s="2" t="s">
        <v>7809</v>
      </c>
      <c r="B3291" s="2" t="s">
        <v>7810</v>
      </c>
      <c r="C3291" s="2" t="s">
        <v>26</v>
      </c>
      <c r="D3291" s="2" t="s">
        <v>27</v>
      </c>
      <c r="E3291" s="5">
        <v>-29862</v>
      </c>
      <c r="F3291" s="3" t="s">
        <v>925</v>
      </c>
      <c r="G3291" s="3" t="s">
        <v>106</v>
      </c>
      <c r="H3291" s="2" t="s">
        <v>36</v>
      </c>
      <c r="I3291" s="2" t="s">
        <v>7811</v>
      </c>
      <c r="J3291" s="3" t="str">
        <f>HYPERLINK("https://www.boe.es/gazeta/dias/1818/03/28/pdfs/GMD-1818-38.pdf#page=5","Abrir facsímil")</f>
        <v>Abrir facsímil</v>
      </c>
      <c r="K3291" s="3" t="s">
        <v>38</v>
      </c>
    </row>
    <row r="3292" spans="1:11" ht="42" customHeight="1">
      <c r="A3292" s="2" t="s">
        <v>7809</v>
      </c>
      <c r="B3292" s="2" t="s">
        <v>7810</v>
      </c>
      <c r="C3292" s="2" t="s">
        <v>215</v>
      </c>
      <c r="D3292" s="2" t="s">
        <v>18</v>
      </c>
      <c r="E3292" s="5">
        <v>-29813</v>
      </c>
      <c r="F3292" s="3" t="s">
        <v>839</v>
      </c>
      <c r="G3292" s="3" t="s">
        <v>120</v>
      </c>
      <c r="H3292" s="2" t="s">
        <v>36</v>
      </c>
      <c r="I3292" s="2" t="s">
        <v>7812</v>
      </c>
      <c r="J3292" s="3" t="str">
        <f>HYPERLINK("https://www.boe.es/gazeta/dias/1818/05/16/pdfs/GMD-1818-59.pdf#page=2","Abrir facsímil")</f>
        <v>Abrir facsímil</v>
      </c>
      <c r="K3292" s="3" t="s">
        <v>38</v>
      </c>
    </row>
    <row r="3293" spans="1:11" ht="42" customHeight="1">
      <c r="A3293" s="2" t="s">
        <v>7809</v>
      </c>
      <c r="B3293" s="2" t="s">
        <v>7810</v>
      </c>
      <c r="C3293" s="2" t="s">
        <v>26</v>
      </c>
      <c r="D3293" s="2" t="s">
        <v>27</v>
      </c>
      <c r="E3293" s="5">
        <v>-29810</v>
      </c>
      <c r="F3293" s="3" t="s">
        <v>222</v>
      </c>
      <c r="G3293" s="3" t="s">
        <v>59</v>
      </c>
      <c r="H3293" s="2" t="s">
        <v>36</v>
      </c>
      <c r="I3293" s="2" t="s">
        <v>7813</v>
      </c>
      <c r="J3293" s="3" t="str">
        <f>HYPERLINK("https://www.boe.es/gazeta/dias/1818/05/19/pdfs/GMD-1818-60.pdf#page=6","Abrir facsímil")</f>
        <v>Abrir facsímil</v>
      </c>
      <c r="K3293" s="3" t="s">
        <v>38</v>
      </c>
    </row>
    <row r="3294" spans="1:11" ht="42" customHeight="1">
      <c r="A3294" s="2" t="s">
        <v>7809</v>
      </c>
      <c r="B3294" s="2" t="s">
        <v>7810</v>
      </c>
      <c r="C3294" s="2" t="s">
        <v>68</v>
      </c>
      <c r="D3294" s="2" t="s">
        <v>69</v>
      </c>
      <c r="E3294" s="5">
        <v>-29740</v>
      </c>
      <c r="F3294" s="3" t="s">
        <v>152</v>
      </c>
      <c r="G3294" s="3" t="s">
        <v>85</v>
      </c>
      <c r="H3294" s="2" t="s">
        <v>36</v>
      </c>
      <c r="I3294" s="2" t="s">
        <v>7814</v>
      </c>
      <c r="J3294" s="3" t="str">
        <f>HYPERLINK("https://www.boe.es/gazeta/dias/1818/07/28/pdfs/GMD-1818-90.pdf#page=3","Abrir facsímil")</f>
        <v>Abrir facsímil</v>
      </c>
      <c r="K3294" s="3" t="s">
        <v>38</v>
      </c>
    </row>
    <row r="3295" spans="1:11" ht="42" customHeight="1">
      <c r="A3295" s="2" t="s">
        <v>7809</v>
      </c>
      <c r="B3295" s="2" t="s">
        <v>7810</v>
      </c>
      <c r="C3295" s="2" t="s">
        <v>68</v>
      </c>
      <c r="D3295" s="2" t="s">
        <v>69</v>
      </c>
      <c r="E3295" s="5">
        <v>-29670</v>
      </c>
      <c r="F3295" s="3" t="s">
        <v>48</v>
      </c>
      <c r="G3295" s="3" t="s">
        <v>49</v>
      </c>
      <c r="H3295" s="2" t="s">
        <v>36</v>
      </c>
      <c r="I3295" s="2" t="s">
        <v>7815</v>
      </c>
      <c r="J3295" s="3" t="str">
        <f>HYPERLINK("https://www.boe.es/gazeta/dias/1818/10/06/pdfs/GMD-1818-120.pdf#page=1","Abrir facsímil")</f>
        <v>Abrir facsímil</v>
      </c>
      <c r="K3295" s="3" t="s">
        <v>38</v>
      </c>
    </row>
    <row r="3296" spans="1:11" ht="42" customHeight="1">
      <c r="A3296" s="2" t="s">
        <v>7809</v>
      </c>
      <c r="B3296" s="2" t="s">
        <v>7810</v>
      </c>
      <c r="C3296" s="2" t="s">
        <v>63</v>
      </c>
      <c r="D3296" s="2" t="s">
        <v>18</v>
      </c>
      <c r="E3296" s="5">
        <v>-29666</v>
      </c>
      <c r="F3296" s="3" t="s">
        <v>258</v>
      </c>
      <c r="G3296" s="3" t="s">
        <v>20</v>
      </c>
      <c r="H3296" s="2" t="s">
        <v>36</v>
      </c>
      <c r="I3296" s="2" t="s">
        <v>7816</v>
      </c>
      <c r="J3296" s="3" t="str">
        <f>HYPERLINK("https://www.boe.es/gazeta/dias/1818/10/10/pdfs/GMD-1818-122.pdf#page=7","Abrir facsímil")</f>
        <v>Abrir facsímil</v>
      </c>
      <c r="K3296" s="3" t="s">
        <v>38</v>
      </c>
    </row>
    <row r="3297" spans="1:11" ht="42" customHeight="1">
      <c r="A3297" s="2" t="s">
        <v>7817</v>
      </c>
      <c r="B3297" s="2" t="s">
        <v>7818</v>
      </c>
      <c r="C3297" s="2" t="s">
        <v>26</v>
      </c>
      <c r="D3297" s="2" t="s">
        <v>27</v>
      </c>
      <c r="E3297" s="5">
        <v>-29913</v>
      </c>
      <c r="F3297" s="3" t="s">
        <v>449</v>
      </c>
      <c r="G3297" s="3" t="s">
        <v>45</v>
      </c>
      <c r="H3297" s="2" t="s">
        <v>36</v>
      </c>
      <c r="I3297" s="2" t="s">
        <v>7819</v>
      </c>
      <c r="J3297" s="3" t="str">
        <f>HYPERLINK("https://www.boe.es/gazeta/dias/1818/02/05/pdfs/GMD-1818-16.pdf#page=8","Abrir facsímil")</f>
        <v>Abrir facsímil</v>
      </c>
      <c r="K3297" s="3" t="s">
        <v>38</v>
      </c>
    </row>
    <row r="3298" spans="1:11" ht="42" customHeight="1">
      <c r="A3298" s="2" t="s">
        <v>7820</v>
      </c>
      <c r="B3298" s="2" t="s">
        <v>7821</v>
      </c>
      <c r="C3298" s="2" t="s">
        <v>57</v>
      </c>
      <c r="D3298" s="2" t="s">
        <v>18</v>
      </c>
      <c r="E3298" s="5">
        <v>-29624</v>
      </c>
      <c r="F3298" s="3" t="s">
        <v>131</v>
      </c>
      <c r="G3298" s="3" t="s">
        <v>20</v>
      </c>
      <c r="H3298" s="2" t="s">
        <v>36</v>
      </c>
      <c r="I3298" s="2" t="s">
        <v>7822</v>
      </c>
      <c r="J3298" s="3" t="str">
        <f>HYPERLINK("https://www.boe.es/gazeta/dias/1818/11/21/pdfs/GMD-1818-141.pdf#page=7","Abrir facsímil")</f>
        <v>Abrir facsímil</v>
      </c>
      <c r="K3298" s="3" t="s">
        <v>38</v>
      </c>
    </row>
    <row r="3299" spans="1:11" ht="42" customHeight="1">
      <c r="A3299" s="2" t="s">
        <v>7823</v>
      </c>
      <c r="B3299" s="2" t="s">
        <v>7824</v>
      </c>
      <c r="C3299" s="2" t="s">
        <v>97</v>
      </c>
      <c r="D3299" s="2" t="s">
        <v>18</v>
      </c>
      <c r="E3299" s="5">
        <v>-29869</v>
      </c>
      <c r="F3299" s="3" t="s">
        <v>140</v>
      </c>
      <c r="G3299" s="3" t="s">
        <v>45</v>
      </c>
      <c r="H3299" s="2" t="s">
        <v>21</v>
      </c>
      <c r="I3299" s="2" t="s">
        <v>7825</v>
      </c>
      <c r="J3299" s="3" t="str">
        <f>HYPERLINK("https://www.boe.es/gazeta/dias/1818/03/21/pdfs/GMD-1818-35.pdf#page=8","Abrir facsímil")</f>
        <v>Abrir facsímil</v>
      </c>
      <c r="K3299" s="3" t="s">
        <v>23</v>
      </c>
    </row>
    <row r="3300" spans="1:11" ht="42" customHeight="1">
      <c r="A3300" s="2" t="s">
        <v>7823</v>
      </c>
      <c r="B3300" s="2" t="s">
        <v>7824</v>
      </c>
      <c r="C3300" s="2" t="s">
        <v>97</v>
      </c>
      <c r="D3300" s="2" t="s">
        <v>18</v>
      </c>
      <c r="E3300" s="5">
        <v>-29593</v>
      </c>
      <c r="F3300" s="3" t="s">
        <v>185</v>
      </c>
      <c r="G3300" s="3" t="s">
        <v>45</v>
      </c>
      <c r="H3300" s="2" t="s">
        <v>21</v>
      </c>
      <c r="I3300" s="2" t="s">
        <v>7826</v>
      </c>
      <c r="J3300" s="3" t="str">
        <f>HYPERLINK("https://www.boe.es/gazeta/dias/1818/12/22/pdfs/GMD-1818-154.pdf#page=8","Abrir facsímil")</f>
        <v>Abrir facsímil</v>
      </c>
      <c r="K3300" s="3" t="s">
        <v>23</v>
      </c>
    </row>
    <row r="3301" spans="1:11" ht="42" customHeight="1">
      <c r="A3301" s="2" t="s">
        <v>7827</v>
      </c>
      <c r="B3301" s="2" t="s">
        <v>7828</v>
      </c>
      <c r="C3301" s="2" t="s">
        <v>97</v>
      </c>
      <c r="D3301" s="2" t="s">
        <v>18</v>
      </c>
      <c r="E3301" s="5">
        <v>-29883</v>
      </c>
      <c r="F3301" s="3" t="s">
        <v>823</v>
      </c>
      <c r="G3301" s="3" t="s">
        <v>45</v>
      </c>
      <c r="H3301" s="2" t="s">
        <v>21</v>
      </c>
      <c r="I3301" s="2" t="s">
        <v>7829</v>
      </c>
      <c r="J3301" s="3" t="str">
        <f>HYPERLINK("https://www.boe.es/gazeta/dias/1818/03/07/pdfs/GMD-1818-29.pdf#page=8","Abrir facsímil")</f>
        <v>Abrir facsímil</v>
      </c>
      <c r="K3301" s="3" t="s">
        <v>23</v>
      </c>
    </row>
    <row r="3302" spans="1:11" ht="42" customHeight="1">
      <c r="A3302" s="2" t="s">
        <v>7830</v>
      </c>
      <c r="B3302" s="2" t="s">
        <v>7830</v>
      </c>
      <c r="C3302" s="2" t="s">
        <v>26</v>
      </c>
      <c r="D3302" s="2" t="s">
        <v>27</v>
      </c>
      <c r="E3302" s="5">
        <v>-29841</v>
      </c>
      <c r="F3302" s="3" t="s">
        <v>19</v>
      </c>
      <c r="G3302" s="3" t="s">
        <v>49</v>
      </c>
      <c r="H3302" s="2" t="s">
        <v>36</v>
      </c>
      <c r="I3302" s="2" t="s">
        <v>7831</v>
      </c>
      <c r="J3302" s="3" t="str">
        <f>HYPERLINK("https://www.boe.es/gazeta/dias/1818/04/18/pdfs/GMD-1818-47.pdf#page=1","Abrir facsímil")</f>
        <v>Abrir facsímil</v>
      </c>
      <c r="K3302" s="3" t="s">
        <v>38</v>
      </c>
    </row>
    <row r="3303" spans="1:11" ht="42" customHeight="1">
      <c r="A3303" s="2" t="s">
        <v>7830</v>
      </c>
      <c r="B3303" s="2" t="s">
        <v>7830</v>
      </c>
      <c r="C3303" s="2" t="s">
        <v>26</v>
      </c>
      <c r="D3303" s="2" t="s">
        <v>27</v>
      </c>
      <c r="E3303" s="5">
        <v>-29834</v>
      </c>
      <c r="F3303" s="3" t="s">
        <v>457</v>
      </c>
      <c r="G3303" s="3" t="s">
        <v>49</v>
      </c>
      <c r="H3303" s="2" t="s">
        <v>36</v>
      </c>
      <c r="I3303" s="2" t="s">
        <v>7832</v>
      </c>
      <c r="J3303" s="3" t="str">
        <f>HYPERLINK("https://www.boe.es/gazeta/dias/1818/04/25/pdfs/GMD-1818-50.pdf#page=1","Abrir facsímil")</f>
        <v>Abrir facsímil</v>
      </c>
      <c r="K3303" s="3" t="s">
        <v>38</v>
      </c>
    </row>
    <row r="3304" spans="1:11" ht="42" customHeight="1">
      <c r="A3304" s="2" t="s">
        <v>7833</v>
      </c>
      <c r="B3304" s="2" t="s">
        <v>7834</v>
      </c>
      <c r="C3304" s="2" t="s">
        <v>26</v>
      </c>
      <c r="D3304" s="2" t="s">
        <v>27</v>
      </c>
      <c r="E3304" s="5">
        <v>-29689</v>
      </c>
      <c r="F3304" s="3" t="s">
        <v>303</v>
      </c>
      <c r="G3304" s="3" t="s">
        <v>45</v>
      </c>
      <c r="H3304" s="2" t="s">
        <v>36</v>
      </c>
      <c r="I3304" s="2" t="s">
        <v>7835</v>
      </c>
      <c r="J3304" s="3" t="str">
        <f>HYPERLINK("https://www.boe.es/gazeta/dias/1818/09/17/pdfs/GMD-1818-112.pdf#page=8","Abrir facsímil")</f>
        <v>Abrir facsímil</v>
      </c>
      <c r="K3304" s="3" t="s">
        <v>38</v>
      </c>
    </row>
    <row r="3305" spans="1:11" ht="42" customHeight="1">
      <c r="A3305" s="2" t="s">
        <v>7833</v>
      </c>
      <c r="B3305" s="2" t="s">
        <v>7834</v>
      </c>
      <c r="C3305" s="2" t="s">
        <v>68</v>
      </c>
      <c r="D3305" s="2" t="s">
        <v>69</v>
      </c>
      <c r="E3305" s="5">
        <v>-29638</v>
      </c>
      <c r="F3305" s="3" t="s">
        <v>307</v>
      </c>
      <c r="G3305" s="3" t="s">
        <v>45</v>
      </c>
      <c r="H3305" s="2" t="s">
        <v>36</v>
      </c>
      <c r="I3305" s="2" t="s">
        <v>7836</v>
      </c>
      <c r="J3305" s="3" t="str">
        <f>HYPERLINK("https://www.boe.es/gazeta/dias/1818/11/07/pdfs/GMD-1818-135.pdf#page=8","Abrir facsímil")</f>
        <v>Abrir facsímil</v>
      </c>
      <c r="K3305" s="3" t="s">
        <v>38</v>
      </c>
    </row>
    <row r="3306" spans="1:11" ht="42" customHeight="1">
      <c r="A3306" s="2" t="s">
        <v>7837</v>
      </c>
      <c r="B3306" s="2" t="s">
        <v>7838</v>
      </c>
      <c r="C3306" s="2" t="s">
        <v>97</v>
      </c>
      <c r="D3306" s="2" t="s">
        <v>18</v>
      </c>
      <c r="E3306" s="5">
        <v>-29600</v>
      </c>
      <c r="F3306" s="3" t="s">
        <v>697</v>
      </c>
      <c r="G3306" s="3" t="s">
        <v>45</v>
      </c>
      <c r="H3306" s="2" t="s">
        <v>36</v>
      </c>
      <c r="I3306" s="2" t="s">
        <v>7839</v>
      </c>
      <c r="J3306" s="3" t="str">
        <f>HYPERLINK("https://www.boe.es/gazeta/dias/1818/12/15/pdfs/GMD-1818-151.pdf#page=8","Abrir facsímil")</f>
        <v>Abrir facsímil</v>
      </c>
      <c r="K3306" s="3" t="s">
        <v>38</v>
      </c>
    </row>
    <row r="3307" spans="1:11" ht="42" customHeight="1">
      <c r="A3307" s="2" t="s">
        <v>7840</v>
      </c>
      <c r="B3307" s="2" t="s">
        <v>7841</v>
      </c>
      <c r="C3307" s="2" t="s">
        <v>17</v>
      </c>
      <c r="D3307" s="2" t="s">
        <v>18</v>
      </c>
      <c r="E3307" s="5">
        <v>-29785</v>
      </c>
      <c r="F3307" s="3" t="s">
        <v>1031</v>
      </c>
      <c r="G3307" s="3" t="s">
        <v>59</v>
      </c>
      <c r="H3307" s="2" t="s">
        <v>36</v>
      </c>
      <c r="I3307" s="2" t="s">
        <v>7842</v>
      </c>
      <c r="J3307" s="3" t="str">
        <f>HYPERLINK("https://www.boe.es/gazeta/dias/1818/06/13/pdfs/GMD-1818-71.pdf#page=6","Abrir facsímil")</f>
        <v>Abrir facsímil</v>
      </c>
      <c r="K3307" s="3" t="s">
        <v>38</v>
      </c>
    </row>
    <row r="3308" spans="1:11" ht="42" customHeight="1">
      <c r="A3308" s="2" t="s">
        <v>7843</v>
      </c>
      <c r="B3308" s="2" t="s">
        <v>7844</v>
      </c>
      <c r="C3308" s="2" t="s">
        <v>17</v>
      </c>
      <c r="D3308" s="2" t="s">
        <v>18</v>
      </c>
      <c r="E3308" s="5">
        <v>-29785</v>
      </c>
      <c r="F3308" s="3" t="s">
        <v>1031</v>
      </c>
      <c r="G3308" s="3" t="s">
        <v>59</v>
      </c>
      <c r="H3308" s="2" t="s">
        <v>36</v>
      </c>
      <c r="I3308" s="2" t="s">
        <v>7845</v>
      </c>
      <c r="J3308" s="3" t="str">
        <f>HYPERLINK("https://www.boe.es/gazeta/dias/1818/06/13/pdfs/GMD-1818-71.pdf#page=6","Abrir facsímil")</f>
        <v>Abrir facsímil</v>
      </c>
      <c r="K3308" s="3" t="s">
        <v>38</v>
      </c>
    </row>
    <row r="3309" spans="1:11" ht="42" customHeight="1">
      <c r="A3309" s="2" t="s">
        <v>7846</v>
      </c>
      <c r="B3309" s="2" t="s">
        <v>7847</v>
      </c>
      <c r="C3309" s="2" t="s">
        <v>63</v>
      </c>
      <c r="D3309" s="2" t="s">
        <v>18</v>
      </c>
      <c r="E3309" s="5">
        <v>-29780</v>
      </c>
      <c r="F3309" s="3" t="s">
        <v>461</v>
      </c>
      <c r="G3309" s="3" t="s">
        <v>49</v>
      </c>
      <c r="H3309" s="2" t="s">
        <v>36</v>
      </c>
      <c r="I3309" s="2" t="s">
        <v>7848</v>
      </c>
      <c r="J3309" s="3" t="str">
        <f>HYPERLINK("https://www.boe.es/gazeta/dias/1818/06/18/pdfs/GMD-1818-73.pdf#page=1","Abrir facsímil")</f>
        <v>Abrir facsímil</v>
      </c>
      <c r="K3309" s="3" t="s">
        <v>38</v>
      </c>
    </row>
    <row r="3310" spans="1:11" ht="42" customHeight="1">
      <c r="A3310" s="2" t="s">
        <v>7849</v>
      </c>
      <c r="B3310" s="2" t="s">
        <v>7849</v>
      </c>
      <c r="C3310" s="2" t="s">
        <v>26</v>
      </c>
      <c r="D3310" s="2" t="s">
        <v>27</v>
      </c>
      <c r="E3310" s="5">
        <v>-29913</v>
      </c>
      <c r="F3310" s="3" t="s">
        <v>449</v>
      </c>
      <c r="G3310" s="3" t="s">
        <v>5747</v>
      </c>
      <c r="H3310" s="2" t="s">
        <v>36</v>
      </c>
      <c r="I3310" s="2" t="s">
        <v>7850</v>
      </c>
      <c r="J3310" s="3" t="str">
        <f>HYPERLINK("https://www.boe.es/gazeta/dias/1818/02/05/pdfs/GMD-1818-16.pdf#page=4","Abrir facsímil")</f>
        <v>Abrir facsímil</v>
      </c>
      <c r="K3310" s="3" t="s">
        <v>38</v>
      </c>
    </row>
    <row r="3311" spans="1:11" ht="42" customHeight="1">
      <c r="A3311" s="2" t="s">
        <v>7849</v>
      </c>
      <c r="B3311" s="2" t="s">
        <v>7849</v>
      </c>
      <c r="C3311" s="2" t="s">
        <v>26</v>
      </c>
      <c r="D3311" s="2" t="s">
        <v>27</v>
      </c>
      <c r="E3311" s="5">
        <v>-29901</v>
      </c>
      <c r="F3311" s="3" t="s">
        <v>417</v>
      </c>
      <c r="G3311" s="3" t="s">
        <v>20</v>
      </c>
      <c r="H3311" s="2" t="s">
        <v>36</v>
      </c>
      <c r="I3311" s="2" t="s">
        <v>7851</v>
      </c>
      <c r="J3311" s="3" t="str">
        <f>HYPERLINK("https://www.boe.es/gazeta/dias/1818/02/17/pdfs/GMD-1818-21.pdf#page=7","Abrir facsímil")</f>
        <v>Abrir facsímil</v>
      </c>
      <c r="K3311" s="3" t="s">
        <v>38</v>
      </c>
    </row>
    <row r="3312" spans="1:11" ht="42" customHeight="1">
      <c r="A3312" s="2" t="s">
        <v>7849</v>
      </c>
      <c r="B3312" s="2" t="s">
        <v>7849</v>
      </c>
      <c r="C3312" s="2" t="s">
        <v>26</v>
      </c>
      <c r="D3312" s="2" t="s">
        <v>27</v>
      </c>
      <c r="E3312" s="5">
        <v>-29771</v>
      </c>
      <c r="F3312" s="3" t="s">
        <v>1260</v>
      </c>
      <c r="G3312" s="3" t="s">
        <v>4136</v>
      </c>
      <c r="H3312" s="2" t="s">
        <v>36</v>
      </c>
      <c r="I3312" s="2" t="s">
        <v>7852</v>
      </c>
      <c r="J3312" s="3" t="str">
        <f>HYPERLINK("https://www.boe.es/gazeta/dias/1818/06/27/pdfs/GMD-1818-77.pdf#page=4","Abrir facsímil")</f>
        <v>Abrir facsímil</v>
      </c>
      <c r="K3312" s="3" t="s">
        <v>38</v>
      </c>
    </row>
    <row r="3313" spans="1:11" ht="42" customHeight="1">
      <c r="A3313" s="2" t="s">
        <v>7849</v>
      </c>
      <c r="B3313" s="2" t="s">
        <v>7849</v>
      </c>
      <c r="C3313" s="2" t="s">
        <v>26</v>
      </c>
      <c r="D3313" s="2" t="s">
        <v>27</v>
      </c>
      <c r="E3313" s="5">
        <v>-29733</v>
      </c>
      <c r="F3313" s="3" t="s">
        <v>482</v>
      </c>
      <c r="G3313" s="3" t="s">
        <v>106</v>
      </c>
      <c r="H3313" s="2" t="s">
        <v>36</v>
      </c>
      <c r="I3313" s="2" t="s">
        <v>7853</v>
      </c>
      <c r="J3313" s="3" t="str">
        <f>HYPERLINK("https://www.boe.es/gazeta/dias/1818/08/04/pdfs/GMD-1818-93.pdf#page=5","Abrir facsímil")</f>
        <v>Abrir facsímil</v>
      </c>
      <c r="K3313" s="3" t="s">
        <v>38</v>
      </c>
    </row>
    <row r="3314" spans="1:11" ht="42" customHeight="1">
      <c r="A3314" s="2" t="s">
        <v>7849</v>
      </c>
      <c r="B3314" s="2" t="s">
        <v>7849</v>
      </c>
      <c r="C3314" s="2" t="s">
        <v>17</v>
      </c>
      <c r="D3314" s="2" t="s">
        <v>18</v>
      </c>
      <c r="E3314" s="5">
        <v>-29733</v>
      </c>
      <c r="F3314" s="3" t="s">
        <v>482</v>
      </c>
      <c r="G3314" s="3" t="s">
        <v>59</v>
      </c>
      <c r="H3314" s="2" t="s">
        <v>36</v>
      </c>
      <c r="I3314" s="2" t="s">
        <v>7854</v>
      </c>
      <c r="J3314" s="3" t="str">
        <f>HYPERLINK("https://www.boe.es/gazeta/dias/1818/08/04/pdfs/GMD-1818-93.pdf#page=6","Abrir facsímil")</f>
        <v>Abrir facsímil</v>
      </c>
      <c r="K3314" s="3" t="s">
        <v>38</v>
      </c>
    </row>
    <row r="3315" spans="1:11" ht="42" customHeight="1">
      <c r="A3315" s="2" t="s">
        <v>7849</v>
      </c>
      <c r="B3315" s="2" t="s">
        <v>7849</v>
      </c>
      <c r="C3315" s="2" t="s">
        <v>26</v>
      </c>
      <c r="D3315" s="2" t="s">
        <v>27</v>
      </c>
      <c r="E3315" s="5">
        <v>-29722</v>
      </c>
      <c r="F3315" s="3" t="s">
        <v>1127</v>
      </c>
      <c r="G3315" s="3" t="s">
        <v>20</v>
      </c>
      <c r="H3315" s="2" t="s">
        <v>36</v>
      </c>
      <c r="I3315" s="2" t="s">
        <v>7855</v>
      </c>
      <c r="J3315" s="3" t="str">
        <f>HYPERLINK("https://www.boe.es/gazeta/dias/1818/08/15/pdfs/GMD-1818-98.pdf#page=7","Abrir facsímil")</f>
        <v>Abrir facsímil</v>
      </c>
      <c r="K3315" s="3" t="s">
        <v>38</v>
      </c>
    </row>
    <row r="3316" spans="1:11" ht="42" customHeight="1">
      <c r="A3316" s="2" t="s">
        <v>7849</v>
      </c>
      <c r="B3316" s="2" t="s">
        <v>7849</v>
      </c>
      <c r="C3316" s="2" t="s">
        <v>17</v>
      </c>
      <c r="D3316" s="2" t="s">
        <v>18</v>
      </c>
      <c r="E3316" s="5">
        <v>-29698</v>
      </c>
      <c r="F3316" s="3" t="s">
        <v>148</v>
      </c>
      <c r="G3316" s="3" t="s">
        <v>29</v>
      </c>
      <c r="H3316" s="2" t="s">
        <v>36</v>
      </c>
      <c r="I3316" s="2" t="s">
        <v>7856</v>
      </c>
      <c r="J3316" s="3" t="str">
        <f>HYPERLINK("https://www.boe.es/gazeta/dias/1818/09/08/pdfs/GMD-1818-108.pdf#page=4","Abrir facsímil")</f>
        <v>Abrir facsímil</v>
      </c>
      <c r="K3316" s="3" t="s">
        <v>38</v>
      </c>
    </row>
    <row r="3317" spans="1:11" ht="42" customHeight="1">
      <c r="A3317" s="2" t="s">
        <v>7857</v>
      </c>
      <c r="B3317" s="2" t="s">
        <v>7858</v>
      </c>
      <c r="C3317" s="2" t="s">
        <v>26</v>
      </c>
      <c r="D3317" s="2" t="s">
        <v>27</v>
      </c>
      <c r="E3317" s="5">
        <v>-29605</v>
      </c>
      <c r="F3317" s="3" t="s">
        <v>888</v>
      </c>
      <c r="G3317" s="3" t="s">
        <v>106</v>
      </c>
      <c r="H3317" s="2" t="s">
        <v>36</v>
      </c>
      <c r="I3317" s="2" t="s">
        <v>7859</v>
      </c>
      <c r="J3317" s="3" t="str">
        <f>HYPERLINK("https://www.boe.es/gazeta/dias/1818/12/10/pdfs/GMD-1818-149.pdf#page=5","Abrir facsímil")</f>
        <v>Abrir facsímil</v>
      </c>
      <c r="K3317" s="3" t="s">
        <v>38</v>
      </c>
    </row>
    <row r="3318" spans="1:11" ht="42" customHeight="1">
      <c r="A3318" s="2" t="s">
        <v>7860</v>
      </c>
      <c r="B3318" s="2" t="s">
        <v>7861</v>
      </c>
      <c r="C3318" s="2" t="s">
        <v>57</v>
      </c>
      <c r="D3318" s="2" t="s">
        <v>18</v>
      </c>
      <c r="E3318" s="5">
        <v>-29675</v>
      </c>
      <c r="F3318" s="3" t="s">
        <v>2314</v>
      </c>
      <c r="G3318" s="3" t="s">
        <v>45</v>
      </c>
      <c r="H3318" s="2" t="s">
        <v>36</v>
      </c>
      <c r="I3318" s="2" t="s">
        <v>7862</v>
      </c>
      <c r="J3318" s="3" t="str">
        <f>HYPERLINK("https://www.boe.es/gazeta/dias/1818/10/01/pdfs/GMD-1818-118.pdf#page=8","Abrir facsímil")</f>
        <v>Abrir facsímil</v>
      </c>
      <c r="K3318" s="3" t="s">
        <v>38</v>
      </c>
    </row>
    <row r="3319" spans="1:11" ht="42" customHeight="1">
      <c r="A3319" s="2" t="s">
        <v>7863</v>
      </c>
      <c r="B3319" s="2" t="s">
        <v>7864</v>
      </c>
      <c r="C3319" s="2" t="s">
        <v>17</v>
      </c>
      <c r="D3319" s="2" t="s">
        <v>18</v>
      </c>
      <c r="E3319" s="5">
        <v>-29698</v>
      </c>
      <c r="F3319" s="3" t="s">
        <v>148</v>
      </c>
      <c r="G3319" s="3" t="s">
        <v>59</v>
      </c>
      <c r="H3319" s="2" t="s">
        <v>36</v>
      </c>
      <c r="I3319" s="2" t="s">
        <v>7865</v>
      </c>
      <c r="J3319" s="3" t="str">
        <f>HYPERLINK("https://www.boe.es/gazeta/dias/1818/09/08/pdfs/GMD-1818-108.pdf#page=6","Abrir facsímil")</f>
        <v>Abrir facsímil</v>
      </c>
      <c r="K3319" s="3" t="s">
        <v>38</v>
      </c>
    </row>
    <row r="3320" spans="1:11" ht="42" customHeight="1">
      <c r="A3320" s="2" t="s">
        <v>7866</v>
      </c>
      <c r="B3320" s="2" t="s">
        <v>7867</v>
      </c>
      <c r="C3320" s="2" t="s">
        <v>26</v>
      </c>
      <c r="D3320" s="2" t="s">
        <v>27</v>
      </c>
      <c r="E3320" s="5">
        <v>-29703</v>
      </c>
      <c r="F3320" s="3" t="s">
        <v>294</v>
      </c>
      <c r="G3320" s="3" t="s">
        <v>29</v>
      </c>
      <c r="H3320" s="2" t="s">
        <v>36</v>
      </c>
      <c r="I3320" s="2" t="s">
        <v>7868</v>
      </c>
      <c r="J3320" s="3" t="str">
        <f>HYPERLINK("https://www.boe.es/gazeta/dias/1818/09/03/pdfs/GMD-1818-106.pdf#page=4","Abrir facsímil")</f>
        <v>Abrir facsímil</v>
      </c>
      <c r="K3320" s="3" t="s">
        <v>38</v>
      </c>
    </row>
    <row r="3321" spans="1:11" ht="42" customHeight="1">
      <c r="A3321" s="2" t="s">
        <v>7869</v>
      </c>
      <c r="B3321" s="2" t="s">
        <v>7869</v>
      </c>
      <c r="C3321" s="2" t="s">
        <v>26</v>
      </c>
      <c r="D3321" s="2" t="s">
        <v>27</v>
      </c>
      <c r="E3321" s="5">
        <v>-29766</v>
      </c>
      <c r="F3321" s="3" t="s">
        <v>276</v>
      </c>
      <c r="G3321" s="3" t="s">
        <v>49</v>
      </c>
      <c r="H3321" s="2" t="s">
        <v>36</v>
      </c>
      <c r="I3321" s="2" t="s">
        <v>7870</v>
      </c>
      <c r="J3321" s="3" t="str">
        <f>HYPERLINK("https://www.boe.es/gazeta/dias/1818/07/02/pdfs/GMD-1818-79.pdf#page=1","Abrir facsímil")</f>
        <v>Abrir facsímil</v>
      </c>
      <c r="K3321" s="3" t="s">
        <v>38</v>
      </c>
    </row>
    <row r="3322" spans="1:11" ht="42" customHeight="1">
      <c r="A3322" s="2" t="s">
        <v>7869</v>
      </c>
      <c r="B3322" s="2" t="s">
        <v>7869</v>
      </c>
      <c r="C3322" s="2" t="s">
        <v>26</v>
      </c>
      <c r="D3322" s="2" t="s">
        <v>27</v>
      </c>
      <c r="E3322" s="5">
        <v>-29745</v>
      </c>
      <c r="F3322" s="3" t="s">
        <v>409</v>
      </c>
      <c r="G3322" s="3" t="s">
        <v>29</v>
      </c>
      <c r="H3322" s="2" t="s">
        <v>36</v>
      </c>
      <c r="I3322" s="2" t="s">
        <v>7871</v>
      </c>
      <c r="J3322" s="3" t="str">
        <f>HYPERLINK("https://www.boe.es/gazeta/dias/1818/07/23/pdfs/GMD-1818-88.pdf#page=4","Abrir facsímil")</f>
        <v>Abrir facsímil</v>
      </c>
      <c r="K3322" s="3" t="s">
        <v>38</v>
      </c>
    </row>
    <row r="3323" spans="1:11" ht="42" customHeight="1">
      <c r="A3323" s="2" t="s">
        <v>7869</v>
      </c>
      <c r="B3323" s="2" t="s">
        <v>7869</v>
      </c>
      <c r="C3323" s="2" t="s">
        <v>17</v>
      </c>
      <c r="D3323" s="2" t="s">
        <v>18</v>
      </c>
      <c r="E3323" s="5">
        <v>-29621</v>
      </c>
      <c r="F3323" s="3" t="s">
        <v>1561</v>
      </c>
      <c r="G3323" s="3" t="s">
        <v>59</v>
      </c>
      <c r="H3323" s="2" t="s">
        <v>36</v>
      </c>
      <c r="I3323" s="2" t="s">
        <v>7872</v>
      </c>
      <c r="J3323" s="3" t="str">
        <f>HYPERLINK("https://www.boe.es/gazeta/dias/1818/11/24/pdfs/GMD-1818-142.pdf#page=6","Abrir facsímil")</f>
        <v>Abrir facsímil</v>
      </c>
      <c r="K3323" s="3" t="s">
        <v>38</v>
      </c>
    </row>
    <row r="3324" spans="1:11" ht="42" customHeight="1">
      <c r="A3324" s="2" t="s">
        <v>7873</v>
      </c>
      <c r="B3324" s="2" t="s">
        <v>7873</v>
      </c>
      <c r="C3324" s="2" t="s">
        <v>26</v>
      </c>
      <c r="D3324" s="2" t="s">
        <v>27</v>
      </c>
      <c r="E3324" s="5">
        <v>-29883</v>
      </c>
      <c r="F3324" s="3" t="s">
        <v>823</v>
      </c>
      <c r="G3324" s="3" t="s">
        <v>824</v>
      </c>
      <c r="H3324" s="2" t="s">
        <v>36</v>
      </c>
      <c r="I3324" s="2" t="s">
        <v>7874</v>
      </c>
      <c r="J3324" s="3" t="str">
        <f>HYPERLINK("https://www.boe.es/gazeta/dias/1818/03/07/pdfs/GMD-1818-29.pdf#page=4","Abrir facsímil")</f>
        <v>Abrir facsímil</v>
      </c>
      <c r="K3324" s="3" t="s">
        <v>38</v>
      </c>
    </row>
    <row r="3325" spans="1:11" ht="42" customHeight="1">
      <c r="A3325" s="2" t="s">
        <v>7875</v>
      </c>
      <c r="B3325" s="2" t="s">
        <v>7876</v>
      </c>
      <c r="C3325" s="2" t="s">
        <v>26</v>
      </c>
      <c r="D3325" s="2" t="s">
        <v>27</v>
      </c>
      <c r="E3325" s="5">
        <v>-29890</v>
      </c>
      <c r="F3325" s="3" t="s">
        <v>393</v>
      </c>
      <c r="G3325" s="3" t="s">
        <v>1096</v>
      </c>
      <c r="H3325" s="2" t="s">
        <v>36</v>
      </c>
      <c r="I3325" s="2" t="s">
        <v>7877</v>
      </c>
      <c r="J3325" s="3" t="str">
        <f>HYPERLINK("https://www.boe.es/gazeta/dias/1818/02/28/pdfs/GMD-1818-26.pdf#page=6","Abrir facsímil")</f>
        <v>Abrir facsímil</v>
      </c>
      <c r="K3325" s="3" t="s">
        <v>38</v>
      </c>
    </row>
    <row r="3326" spans="1:11" ht="42" customHeight="1">
      <c r="A3326" s="2" t="s">
        <v>7878</v>
      </c>
      <c r="B3326" s="2" t="s">
        <v>7879</v>
      </c>
      <c r="C3326" s="2" t="s">
        <v>26</v>
      </c>
      <c r="D3326" s="2" t="s">
        <v>27</v>
      </c>
      <c r="E3326" s="5">
        <v>-29883</v>
      </c>
      <c r="F3326" s="3" t="s">
        <v>823</v>
      </c>
      <c r="G3326" s="3" t="s">
        <v>824</v>
      </c>
      <c r="H3326" s="2" t="s">
        <v>36</v>
      </c>
      <c r="I3326" s="2" t="s">
        <v>7880</v>
      </c>
      <c r="J3326" s="3" t="str">
        <f>HYPERLINK("https://www.boe.es/gazeta/dias/1818/03/07/pdfs/GMD-1818-29.pdf#page=4","Abrir facsímil")</f>
        <v>Abrir facsímil</v>
      </c>
      <c r="K3326" s="3" t="s">
        <v>38</v>
      </c>
    </row>
    <row r="3327" spans="1:11" ht="42" customHeight="1">
      <c r="A3327" s="2" t="s">
        <v>7878</v>
      </c>
      <c r="B3327" s="2" t="s">
        <v>7879</v>
      </c>
      <c r="C3327" s="2" t="s">
        <v>26</v>
      </c>
      <c r="D3327" s="2" t="s">
        <v>27</v>
      </c>
      <c r="E3327" s="5">
        <v>-29883</v>
      </c>
      <c r="F3327" s="3" t="s">
        <v>823</v>
      </c>
      <c r="G3327" s="3" t="s">
        <v>106</v>
      </c>
      <c r="H3327" s="2" t="s">
        <v>36</v>
      </c>
      <c r="I3327" s="2" t="s">
        <v>7881</v>
      </c>
      <c r="J3327" s="3" t="str">
        <f>HYPERLINK("https://www.boe.es/gazeta/dias/1818/03/07/pdfs/GMD-1818-29.pdf#page=5","Abrir facsímil")</f>
        <v>Abrir facsímil</v>
      </c>
      <c r="K3327" s="3" t="s">
        <v>38</v>
      </c>
    </row>
    <row r="3328" spans="1:11" ht="42" customHeight="1">
      <c r="A3328" s="2" t="s">
        <v>7878</v>
      </c>
      <c r="B3328" s="2" t="s">
        <v>7879</v>
      </c>
      <c r="C3328" s="2" t="s">
        <v>26</v>
      </c>
      <c r="D3328" s="2" t="s">
        <v>27</v>
      </c>
      <c r="E3328" s="5">
        <v>-29857</v>
      </c>
      <c r="F3328" s="3" t="s">
        <v>831</v>
      </c>
      <c r="G3328" s="3" t="s">
        <v>106</v>
      </c>
      <c r="H3328" s="2" t="s">
        <v>36</v>
      </c>
      <c r="I3328" s="2" t="s">
        <v>7882</v>
      </c>
      <c r="J3328" s="3" t="str">
        <f>HYPERLINK("https://www.boe.es/gazeta/dias/1818/04/02/pdfs/GMD-1818-40.pdf#page=5","Abrir facsímil")</f>
        <v>Abrir facsímil</v>
      </c>
      <c r="K3328" s="3" t="s">
        <v>38</v>
      </c>
    </row>
    <row r="3329" spans="1:11" ht="42" customHeight="1">
      <c r="A3329" s="2" t="s">
        <v>7878</v>
      </c>
      <c r="B3329" s="2" t="s">
        <v>7879</v>
      </c>
      <c r="C3329" s="2" t="s">
        <v>26</v>
      </c>
      <c r="D3329" s="2" t="s">
        <v>27</v>
      </c>
      <c r="E3329" s="5">
        <v>-29857</v>
      </c>
      <c r="F3329" s="3" t="s">
        <v>831</v>
      </c>
      <c r="G3329" s="3" t="s">
        <v>59</v>
      </c>
      <c r="H3329" s="2" t="s">
        <v>36</v>
      </c>
      <c r="I3329" s="2" t="s">
        <v>7883</v>
      </c>
      <c r="J3329" s="3" t="str">
        <f>HYPERLINK("https://www.boe.es/gazeta/dias/1818/04/02/pdfs/GMD-1818-40.pdf#page=6","Abrir facsímil")</f>
        <v>Abrir facsímil</v>
      </c>
      <c r="K3329" s="3" t="s">
        <v>38</v>
      </c>
    </row>
    <row r="3330" spans="1:11" ht="42" customHeight="1">
      <c r="A3330" s="2" t="s">
        <v>7884</v>
      </c>
      <c r="B3330" s="2" t="s">
        <v>7885</v>
      </c>
      <c r="C3330" s="2" t="s">
        <v>17</v>
      </c>
      <c r="D3330" s="2" t="s">
        <v>18</v>
      </c>
      <c r="E3330" s="5">
        <v>-29698</v>
      </c>
      <c r="F3330" s="3" t="s">
        <v>148</v>
      </c>
      <c r="G3330" s="3" t="s">
        <v>45</v>
      </c>
      <c r="H3330" s="2" t="s">
        <v>36</v>
      </c>
      <c r="I3330" s="2" t="s">
        <v>7886</v>
      </c>
      <c r="J3330" s="3" t="str">
        <f>HYPERLINK("https://www.boe.es/gazeta/dias/1818/09/08/pdfs/GMD-1818-108.pdf#page=8","Abrir facsímil")</f>
        <v>Abrir facsímil</v>
      </c>
      <c r="K3330" s="3" t="s">
        <v>38</v>
      </c>
    </row>
    <row r="3331" spans="1:11" ht="42" customHeight="1">
      <c r="A3331" s="2" t="s">
        <v>7887</v>
      </c>
      <c r="B3331" s="2" t="s">
        <v>7888</v>
      </c>
      <c r="C3331" s="2" t="s">
        <v>97</v>
      </c>
      <c r="D3331" s="2" t="s">
        <v>18</v>
      </c>
      <c r="E3331" s="5">
        <v>-29782</v>
      </c>
      <c r="F3331" s="3" t="s">
        <v>226</v>
      </c>
      <c r="G3331" s="3" t="s">
        <v>20</v>
      </c>
      <c r="H3331" s="2" t="s">
        <v>21</v>
      </c>
      <c r="I3331" s="2" t="s">
        <v>7889</v>
      </c>
      <c r="J3331" s="3" t="str">
        <f>HYPERLINK("https://www.boe.es/gazeta/dias/1818/06/16/pdfs/GMD-1818-72.pdf#page=7","Abrir facsímil")</f>
        <v>Abrir facsímil</v>
      </c>
      <c r="K3331" s="3" t="s">
        <v>23</v>
      </c>
    </row>
    <row r="3332" spans="1:11" ht="42" customHeight="1">
      <c r="A3332" s="2" t="s">
        <v>7890</v>
      </c>
      <c r="B3332" s="2" t="s">
        <v>7891</v>
      </c>
      <c r="C3332" s="2" t="s">
        <v>57</v>
      </c>
      <c r="D3332" s="2" t="s">
        <v>18</v>
      </c>
      <c r="E3332" s="5">
        <v>-29677</v>
      </c>
      <c r="F3332" s="3" t="s">
        <v>157</v>
      </c>
      <c r="G3332" s="3" t="s">
        <v>158</v>
      </c>
      <c r="H3332" s="2" t="s">
        <v>36</v>
      </c>
      <c r="I3332" s="2" t="s">
        <v>7892</v>
      </c>
      <c r="J3332" s="3" t="str">
        <f>HYPERLINK("https://www.boe.es/gazeta/dias/1818/09/29/pdfs/GMD-1818-117.pdf#page=8","Abrir facsímil")</f>
        <v>Abrir facsímil</v>
      </c>
      <c r="K3332" s="3" t="s">
        <v>38</v>
      </c>
    </row>
    <row r="3333" spans="1:11" ht="42" customHeight="1">
      <c r="A3333" s="2" t="s">
        <v>7893</v>
      </c>
      <c r="B3333" s="2" t="s">
        <v>7894</v>
      </c>
      <c r="C3333" s="2" t="s">
        <v>26</v>
      </c>
      <c r="D3333" s="2" t="s">
        <v>27</v>
      </c>
      <c r="E3333" s="5">
        <v>-29897</v>
      </c>
      <c r="F3333" s="3" t="s">
        <v>318</v>
      </c>
      <c r="G3333" s="3" t="s">
        <v>29</v>
      </c>
      <c r="H3333" s="2" t="s">
        <v>36</v>
      </c>
      <c r="I3333" s="2" t="s">
        <v>7895</v>
      </c>
      <c r="J3333" s="3" t="str">
        <f>HYPERLINK("https://www.boe.es/gazeta/dias/1818/02/21/pdfs/GMD-1818-23.pdf#page=4","Abrir facsímil")</f>
        <v>Abrir facsímil</v>
      </c>
      <c r="K3333" s="3" t="s">
        <v>38</v>
      </c>
    </row>
    <row r="3334" spans="1:11" ht="42" customHeight="1">
      <c r="A3334" s="2" t="s">
        <v>7896</v>
      </c>
      <c r="B3334" s="2" t="s">
        <v>7897</v>
      </c>
      <c r="C3334" s="2" t="s">
        <v>26</v>
      </c>
      <c r="D3334" s="2" t="s">
        <v>27</v>
      </c>
      <c r="E3334" s="5">
        <v>-29677</v>
      </c>
      <c r="F3334" s="3" t="s">
        <v>157</v>
      </c>
      <c r="G3334" s="3" t="s">
        <v>20</v>
      </c>
      <c r="H3334" s="2" t="s">
        <v>36</v>
      </c>
      <c r="I3334" s="2" t="s">
        <v>7898</v>
      </c>
      <c r="J3334" s="3" t="str">
        <f>HYPERLINK("https://www.boe.es/gazeta/dias/1818/09/29/pdfs/GMD-1818-117.pdf#page=7","Abrir facsímil")</f>
        <v>Abrir facsímil</v>
      </c>
      <c r="K3334" s="3" t="s">
        <v>38</v>
      </c>
    </row>
    <row r="3335" spans="1:11" ht="42" customHeight="1">
      <c r="A3335" s="2" t="s">
        <v>7899</v>
      </c>
      <c r="B3335" s="2" t="s">
        <v>7900</v>
      </c>
      <c r="C3335" s="2" t="s">
        <v>26</v>
      </c>
      <c r="D3335" s="2" t="s">
        <v>27</v>
      </c>
      <c r="E3335" s="5">
        <v>-29815</v>
      </c>
      <c r="F3335" s="3" t="s">
        <v>2169</v>
      </c>
      <c r="G3335" s="3" t="s">
        <v>45</v>
      </c>
      <c r="H3335" s="2" t="s">
        <v>36</v>
      </c>
      <c r="I3335" s="2" t="s">
        <v>7901</v>
      </c>
      <c r="J3335" s="3" t="str">
        <f>HYPERLINK("https://www.boe.es/gazeta/dias/1818/05/14/pdfs/GMD-1818-58.pdf#page=8","Abrir facsímil")</f>
        <v>Abrir facsímil</v>
      </c>
      <c r="K3335" s="3" t="s">
        <v>38</v>
      </c>
    </row>
    <row r="3336" spans="1:11" ht="42" customHeight="1">
      <c r="A3336" s="2" t="s">
        <v>7902</v>
      </c>
      <c r="B3336" s="2" t="s">
        <v>7903</v>
      </c>
      <c r="C3336" s="2" t="s">
        <v>68</v>
      </c>
      <c r="D3336" s="2" t="s">
        <v>69</v>
      </c>
      <c r="E3336" s="5">
        <v>-29824</v>
      </c>
      <c r="F3336" s="3" t="s">
        <v>101</v>
      </c>
      <c r="G3336" s="3" t="s">
        <v>45</v>
      </c>
      <c r="H3336" s="2" t="s">
        <v>36</v>
      </c>
      <c r="I3336" s="2" t="s">
        <v>7904</v>
      </c>
      <c r="J3336" s="3" t="str">
        <f>HYPERLINK("https://www.boe.es/gazeta/dias/1818/05/05/pdfs/GMD-1818-54.pdf#page=8","Abrir facsímil")</f>
        <v>Abrir facsímil</v>
      </c>
      <c r="K3336" s="3" t="s">
        <v>38</v>
      </c>
    </row>
    <row r="3337" spans="1:11" ht="42" customHeight="1">
      <c r="A3337" s="2" t="s">
        <v>7905</v>
      </c>
      <c r="B3337" s="2" t="s">
        <v>7906</v>
      </c>
      <c r="C3337" s="2" t="s">
        <v>57</v>
      </c>
      <c r="D3337" s="2" t="s">
        <v>18</v>
      </c>
      <c r="E3337" s="5">
        <v>-29628</v>
      </c>
      <c r="F3337" s="3" t="s">
        <v>58</v>
      </c>
      <c r="G3337" s="3" t="s">
        <v>59</v>
      </c>
      <c r="H3337" s="2" t="s">
        <v>21</v>
      </c>
      <c r="I3337" s="2" t="s">
        <v>7907</v>
      </c>
      <c r="J3337" s="3" t="str">
        <f>HYPERLINK("https://www.boe.es/gazeta/dias/1818/11/17/pdfs/GMD-1818-139.pdf#page=6","Abrir facsímil")</f>
        <v>Abrir facsímil</v>
      </c>
      <c r="K3337" s="3" t="s">
        <v>23</v>
      </c>
    </row>
    <row r="3338" spans="1:11" ht="42" customHeight="1">
      <c r="A3338" s="2" t="s">
        <v>7908</v>
      </c>
      <c r="B3338" s="2" t="s">
        <v>7909</v>
      </c>
      <c r="C3338" s="2" t="s">
        <v>97</v>
      </c>
      <c r="D3338" s="2" t="s">
        <v>18</v>
      </c>
      <c r="E3338" s="5">
        <v>-29729</v>
      </c>
      <c r="F3338" s="3" t="s">
        <v>488</v>
      </c>
      <c r="G3338" s="3" t="s">
        <v>489</v>
      </c>
      <c r="H3338" s="2" t="s">
        <v>36</v>
      </c>
      <c r="I3338" s="2" t="s">
        <v>7910</v>
      </c>
      <c r="J3338" s="3" t="str">
        <f>HYPERLINK("https://www.boe.es/gazeta/dias/1818/08/08/pdfs/GMD-1818-95.pdf#page=8","Abrir facsímil")</f>
        <v>Abrir facsímil</v>
      </c>
      <c r="K3338" s="3" t="s">
        <v>38</v>
      </c>
    </row>
    <row r="3339" spans="1:11" ht="42" customHeight="1">
      <c r="A3339" s="2" t="s">
        <v>7911</v>
      </c>
      <c r="B3339" s="2" t="s">
        <v>7912</v>
      </c>
      <c r="C3339" s="2" t="s">
        <v>33</v>
      </c>
      <c r="D3339" s="2" t="s">
        <v>18</v>
      </c>
      <c r="E3339" s="5">
        <v>-29750</v>
      </c>
      <c r="F3339" s="3" t="s">
        <v>384</v>
      </c>
      <c r="G3339" s="3" t="s">
        <v>59</v>
      </c>
      <c r="H3339" s="2" t="s">
        <v>36</v>
      </c>
      <c r="I3339" s="2" t="s">
        <v>7913</v>
      </c>
      <c r="J3339" s="3" t="str">
        <f>HYPERLINK("https://www.boe.es/gazeta/dias/1818/07/18/pdfs/GMD-1818-86.pdf#page=6","Abrir facsímil")</f>
        <v>Abrir facsímil</v>
      </c>
      <c r="K3339" s="3" t="s">
        <v>38</v>
      </c>
    </row>
    <row r="3340" spans="1:11" ht="42" customHeight="1">
      <c r="A3340" s="2" t="s">
        <v>7914</v>
      </c>
      <c r="B3340" s="2" t="s">
        <v>7915</v>
      </c>
      <c r="C3340" s="2" t="s">
        <v>17</v>
      </c>
      <c r="D3340" s="2" t="s">
        <v>18</v>
      </c>
      <c r="E3340" s="5">
        <v>-29927</v>
      </c>
      <c r="F3340" s="3" t="s">
        <v>1381</v>
      </c>
      <c r="G3340" s="3" t="s">
        <v>1382</v>
      </c>
      <c r="H3340" s="2" t="s">
        <v>36</v>
      </c>
      <c r="I3340" s="2" t="s">
        <v>7916</v>
      </c>
      <c r="J3340" s="3" t="str">
        <f>HYPERLINK("https://www.boe.es/gazeta/dias/1818/01/22/pdfs/GMD-1818-10.pdf#page=5","Abrir facsímil")</f>
        <v>Abrir facsímil</v>
      </c>
      <c r="K3340" s="3" t="s">
        <v>38</v>
      </c>
    </row>
    <row r="3341" spans="1:11" ht="42" customHeight="1">
      <c r="A3341" s="2" t="s">
        <v>7917</v>
      </c>
      <c r="B3341" s="2" t="s">
        <v>7918</v>
      </c>
      <c r="C3341" s="2" t="s">
        <v>17</v>
      </c>
      <c r="D3341" s="2" t="s">
        <v>18</v>
      </c>
      <c r="E3341" s="5">
        <v>-29698</v>
      </c>
      <c r="F3341" s="3" t="s">
        <v>148</v>
      </c>
      <c r="G3341" s="3" t="s">
        <v>29</v>
      </c>
      <c r="H3341" s="2" t="s">
        <v>36</v>
      </c>
      <c r="I3341" s="2" t="s">
        <v>7919</v>
      </c>
      <c r="J3341" s="3" t="str">
        <f>HYPERLINK("https://www.boe.es/gazeta/dias/1818/09/08/pdfs/GMD-1818-108.pdf#page=4","Abrir facsímil")</f>
        <v>Abrir facsímil</v>
      </c>
      <c r="K3341" s="3" t="s">
        <v>38</v>
      </c>
    </row>
    <row r="3342" spans="1:11" ht="42" customHeight="1">
      <c r="A3342" s="2" t="s">
        <v>7920</v>
      </c>
      <c r="B3342" s="2" t="s">
        <v>7921</v>
      </c>
      <c r="C3342" s="2" t="s">
        <v>17</v>
      </c>
      <c r="D3342" s="2" t="s">
        <v>18</v>
      </c>
      <c r="E3342" s="5">
        <v>-29708</v>
      </c>
      <c r="F3342" s="3" t="s">
        <v>413</v>
      </c>
      <c r="G3342" s="3" t="s">
        <v>106</v>
      </c>
      <c r="H3342" s="2" t="s">
        <v>36</v>
      </c>
      <c r="I3342" s="2" t="s">
        <v>7922</v>
      </c>
      <c r="J3342" s="3" t="str">
        <f>HYPERLINK("https://www.boe.es/gazeta/dias/1818/08/29/pdfs/GMD-1818-104.pdf#page=5","Abrir facsímil")</f>
        <v>Abrir facsímil</v>
      </c>
      <c r="K3342" s="3" t="s">
        <v>38</v>
      </c>
    </row>
    <row r="3343" spans="1:11" ht="42" customHeight="1">
      <c r="A3343" s="2" t="s">
        <v>7923</v>
      </c>
      <c r="B3343" s="2" t="s">
        <v>7924</v>
      </c>
      <c r="C3343" s="2" t="s">
        <v>26</v>
      </c>
      <c r="D3343" s="2" t="s">
        <v>27</v>
      </c>
      <c r="E3343" s="5">
        <v>-29598</v>
      </c>
      <c r="F3343" s="3" t="s">
        <v>98</v>
      </c>
      <c r="G3343" s="3" t="s">
        <v>45</v>
      </c>
      <c r="H3343" s="2" t="s">
        <v>21</v>
      </c>
      <c r="I3343" s="2" t="s">
        <v>7925</v>
      </c>
      <c r="J3343" s="3" t="str">
        <f>HYPERLINK("https://www.boe.es/gazeta/dias/1818/12/17/pdfs/GMD-1818-152.pdf#page=8","Abrir facsímil")</f>
        <v>Abrir facsímil</v>
      </c>
      <c r="K3343" s="3" t="s">
        <v>23</v>
      </c>
    </row>
    <row r="3344" spans="1:11" ht="42" customHeight="1">
      <c r="A3344" s="2" t="s">
        <v>7926</v>
      </c>
      <c r="B3344" s="2" t="s">
        <v>7926</v>
      </c>
      <c r="C3344" s="2" t="s">
        <v>26</v>
      </c>
      <c r="D3344" s="2" t="s">
        <v>27</v>
      </c>
      <c r="E3344" s="5">
        <v>-29876</v>
      </c>
      <c r="F3344" s="3" t="s">
        <v>338</v>
      </c>
      <c r="G3344" s="3" t="s">
        <v>29</v>
      </c>
      <c r="H3344" s="2" t="s">
        <v>36</v>
      </c>
      <c r="I3344" s="2" t="s">
        <v>7927</v>
      </c>
      <c r="J3344" s="3" t="str">
        <f>HYPERLINK("https://www.boe.es/gazeta/dias/1818/03/14/pdfs/GMD-1818-32.pdf#page=4","Abrir facsímil")</f>
        <v>Abrir facsímil</v>
      </c>
      <c r="K3344" s="3" t="s">
        <v>38</v>
      </c>
    </row>
    <row r="3345" spans="1:11" ht="42" customHeight="1">
      <c r="A3345" s="2" t="s">
        <v>7928</v>
      </c>
      <c r="B3345" s="2" t="s">
        <v>7929</v>
      </c>
      <c r="C3345" s="2" t="s">
        <v>26</v>
      </c>
      <c r="D3345" s="2" t="s">
        <v>27</v>
      </c>
      <c r="E3345" s="5">
        <v>-29876</v>
      </c>
      <c r="F3345" s="3" t="s">
        <v>338</v>
      </c>
      <c r="G3345" s="3" t="s">
        <v>29</v>
      </c>
      <c r="H3345" s="2" t="s">
        <v>36</v>
      </c>
      <c r="I3345" s="2" t="s">
        <v>7930</v>
      </c>
      <c r="J3345" s="3" t="str">
        <f>HYPERLINK("https://www.boe.es/gazeta/dias/1818/03/14/pdfs/GMD-1818-32.pdf#page=4","Abrir facsímil")</f>
        <v>Abrir facsímil</v>
      </c>
      <c r="K3345" s="3" t="s">
        <v>38</v>
      </c>
    </row>
    <row r="3346" spans="1:11" ht="42" customHeight="1">
      <c r="A3346" s="2" t="s">
        <v>7931</v>
      </c>
      <c r="B3346" s="2" t="s">
        <v>7932</v>
      </c>
      <c r="C3346" s="2" t="s">
        <v>26</v>
      </c>
      <c r="D3346" s="2" t="s">
        <v>27</v>
      </c>
      <c r="E3346" s="5">
        <v>-29897</v>
      </c>
      <c r="F3346" s="3" t="s">
        <v>318</v>
      </c>
      <c r="G3346" s="3" t="s">
        <v>106</v>
      </c>
      <c r="H3346" s="2" t="s">
        <v>36</v>
      </c>
      <c r="I3346" s="2" t="s">
        <v>7933</v>
      </c>
      <c r="J3346" s="3" t="str">
        <f>HYPERLINK("https://www.boe.es/gazeta/dias/1818/02/21/pdfs/GMD-1818-23.pdf#page=5","Abrir facsímil")</f>
        <v>Abrir facsímil</v>
      </c>
      <c r="K3346" s="3" t="s">
        <v>38</v>
      </c>
    </row>
    <row r="3347" spans="1:11" ht="42" customHeight="1">
      <c r="A3347" s="2" t="s">
        <v>7934</v>
      </c>
      <c r="B3347" s="2" t="s">
        <v>7935</v>
      </c>
      <c r="C3347" s="2" t="s">
        <v>17</v>
      </c>
      <c r="D3347" s="2" t="s">
        <v>18</v>
      </c>
      <c r="E3347" s="5">
        <v>-29708</v>
      </c>
      <c r="F3347" s="3" t="s">
        <v>413</v>
      </c>
      <c r="G3347" s="3" t="s">
        <v>106</v>
      </c>
      <c r="H3347" s="2" t="s">
        <v>36</v>
      </c>
      <c r="I3347" s="2" t="s">
        <v>7936</v>
      </c>
      <c r="J3347" s="3" t="str">
        <f>HYPERLINK("https://www.boe.es/gazeta/dias/1818/08/29/pdfs/GMD-1818-104.pdf#page=5","Abrir facsímil")</f>
        <v>Abrir facsímil</v>
      </c>
      <c r="K3347" s="3" t="s">
        <v>38</v>
      </c>
    </row>
    <row r="3348" spans="1:11" ht="42" customHeight="1">
      <c r="A3348" s="2" t="s">
        <v>7937</v>
      </c>
      <c r="B3348" s="2" t="s">
        <v>7938</v>
      </c>
      <c r="C3348" s="2" t="s">
        <v>17</v>
      </c>
      <c r="D3348" s="2" t="s">
        <v>18</v>
      </c>
      <c r="E3348" s="5">
        <v>-29708</v>
      </c>
      <c r="F3348" s="3" t="s">
        <v>413</v>
      </c>
      <c r="G3348" s="3" t="s">
        <v>106</v>
      </c>
      <c r="H3348" s="2" t="s">
        <v>36</v>
      </c>
      <c r="I3348" s="2" t="s">
        <v>7939</v>
      </c>
      <c r="J3348" s="3" t="str">
        <f>HYPERLINK("https://www.boe.es/gazeta/dias/1818/08/29/pdfs/GMD-1818-104.pdf#page=5","Abrir facsímil")</f>
        <v>Abrir facsímil</v>
      </c>
      <c r="K3348" s="3" t="s">
        <v>38</v>
      </c>
    </row>
    <row r="3349" spans="1:11" ht="42" customHeight="1">
      <c r="A3349" s="2" t="s">
        <v>7940</v>
      </c>
      <c r="B3349" s="2" t="s">
        <v>7941</v>
      </c>
      <c r="C3349" s="2" t="s">
        <v>26</v>
      </c>
      <c r="D3349" s="2" t="s">
        <v>27</v>
      </c>
      <c r="E3349" s="5">
        <v>-29740</v>
      </c>
      <c r="F3349" s="3" t="s">
        <v>152</v>
      </c>
      <c r="G3349" s="3" t="s">
        <v>153</v>
      </c>
      <c r="H3349" s="2" t="s">
        <v>36</v>
      </c>
      <c r="I3349" s="2" t="s">
        <v>7942</v>
      </c>
      <c r="J3349" s="3" t="str">
        <f>HYPERLINK("https://www.boe.es/gazeta/dias/1818/07/28/pdfs/GMD-1818-90.pdf#page=6","Abrir facsímil")</f>
        <v>Abrir facsímil</v>
      </c>
      <c r="K3349" s="3" t="s">
        <v>38</v>
      </c>
    </row>
    <row r="3350" spans="1:11" ht="42" customHeight="1">
      <c r="A3350" s="2" t="s">
        <v>7943</v>
      </c>
      <c r="B3350" s="2" t="s">
        <v>7944</v>
      </c>
      <c r="C3350" s="2" t="s">
        <v>97</v>
      </c>
      <c r="D3350" s="2" t="s">
        <v>18</v>
      </c>
      <c r="E3350" s="5">
        <v>-29724</v>
      </c>
      <c r="F3350" s="3" t="s">
        <v>370</v>
      </c>
      <c r="G3350" s="3" t="s">
        <v>3675</v>
      </c>
      <c r="H3350" s="2" t="s">
        <v>36</v>
      </c>
      <c r="I3350" s="2" t="s">
        <v>7945</v>
      </c>
      <c r="J3350" s="3" t="str">
        <f>HYPERLINK("https://www.boe.es/gazeta/dias/1818/08/13/pdfs/GMD-1818-97.pdf#page=8","Abrir facsímil")</f>
        <v>Abrir facsímil</v>
      </c>
      <c r="K3350" s="3" t="s">
        <v>38</v>
      </c>
    </row>
    <row r="3351" spans="1:11" ht="42" customHeight="1">
      <c r="A3351" s="2" t="s">
        <v>7946</v>
      </c>
      <c r="B3351" s="2" t="s">
        <v>7946</v>
      </c>
      <c r="C3351" s="2" t="s">
        <v>26</v>
      </c>
      <c r="D3351" s="2" t="s">
        <v>27</v>
      </c>
      <c r="E3351" s="5">
        <v>-29626</v>
      </c>
      <c r="F3351" s="3" t="s">
        <v>496</v>
      </c>
      <c r="G3351" s="3" t="s">
        <v>882</v>
      </c>
      <c r="H3351" s="2" t="s">
        <v>36</v>
      </c>
      <c r="I3351" s="2" t="s">
        <v>7947</v>
      </c>
      <c r="J3351" s="3" t="str">
        <f>HYPERLINK("https://www.boe.es/gazeta/dias/1818/11/19/pdfs/GMD-1818-140.pdf#page=4","Abrir facsímil")</f>
        <v>Abrir facsímil</v>
      </c>
      <c r="K3351" s="3" t="s">
        <v>38</v>
      </c>
    </row>
    <row r="3352" spans="1:11" ht="42" customHeight="1">
      <c r="A3352" s="2" t="s">
        <v>7948</v>
      </c>
      <c r="B3352" s="2" t="s">
        <v>7949</v>
      </c>
      <c r="C3352" s="2" t="s">
        <v>17</v>
      </c>
      <c r="D3352" s="2" t="s">
        <v>18</v>
      </c>
      <c r="E3352" s="5">
        <v>-29754</v>
      </c>
      <c r="F3352" s="3" t="s">
        <v>466</v>
      </c>
      <c r="G3352" s="3" t="s">
        <v>59</v>
      </c>
      <c r="H3352" s="2" t="s">
        <v>36</v>
      </c>
      <c r="I3352" s="2" t="s">
        <v>7950</v>
      </c>
      <c r="J3352" s="3" t="str">
        <f>HYPERLINK("https://www.boe.es/gazeta/dias/1818/07/14/pdfs/GMD-1818-84.pdf#page=6","Abrir facsímil")</f>
        <v>Abrir facsímil</v>
      </c>
      <c r="K3352" s="3" t="s">
        <v>38</v>
      </c>
    </row>
    <row r="3353" spans="1:11" ht="42" customHeight="1">
      <c r="A3353" s="2" t="s">
        <v>7951</v>
      </c>
      <c r="B3353" s="2" t="s">
        <v>7952</v>
      </c>
      <c r="C3353" s="2" t="s">
        <v>68</v>
      </c>
      <c r="D3353" s="2" t="s">
        <v>69</v>
      </c>
      <c r="E3353" s="5">
        <v>-29673</v>
      </c>
      <c r="F3353" s="3" t="s">
        <v>1099</v>
      </c>
      <c r="G3353" s="3" t="s">
        <v>45</v>
      </c>
      <c r="H3353" s="2" t="s">
        <v>36</v>
      </c>
      <c r="I3353" s="2" t="s">
        <v>7953</v>
      </c>
      <c r="J3353" s="3" t="str">
        <f>HYPERLINK("https://www.boe.es/gazeta/dias/1818/10/03/pdfs/GMD-1818-119.pdf#page=8","Abrir facsímil")</f>
        <v>Abrir facsímil</v>
      </c>
      <c r="K3353" s="3" t="s">
        <v>38</v>
      </c>
    </row>
    <row r="3354" spans="1:11" ht="42" customHeight="1">
      <c r="A3354" s="2" t="s">
        <v>7954</v>
      </c>
      <c r="B3354" s="2" t="s">
        <v>7955</v>
      </c>
      <c r="C3354" s="2" t="s">
        <v>68</v>
      </c>
      <c r="D3354" s="2" t="s">
        <v>69</v>
      </c>
      <c r="E3354" s="5">
        <v>-29880</v>
      </c>
      <c r="F3354" s="3" t="s">
        <v>359</v>
      </c>
      <c r="G3354" s="3" t="s">
        <v>59</v>
      </c>
      <c r="H3354" s="2" t="s">
        <v>36</v>
      </c>
      <c r="I3354" s="2" t="s">
        <v>7956</v>
      </c>
      <c r="J3354" s="3" t="str">
        <f>HYPERLINK("https://www.boe.es/gazeta/dias/1818/03/10/pdfs/GMD-1818-30.pdf#page=6","Abrir facsímil")</f>
        <v>Abrir facsímil</v>
      </c>
      <c r="K3354" s="3" t="s">
        <v>38</v>
      </c>
    </row>
    <row r="3355" spans="1:11" ht="42" customHeight="1">
      <c r="A3355" s="2" t="s">
        <v>7957</v>
      </c>
      <c r="B3355" s="2" t="s">
        <v>7958</v>
      </c>
      <c r="C3355" s="2" t="s">
        <v>26</v>
      </c>
      <c r="D3355" s="2" t="s">
        <v>27</v>
      </c>
      <c r="E3355" s="5">
        <v>-29710</v>
      </c>
      <c r="F3355" s="3" t="s">
        <v>1026</v>
      </c>
      <c r="G3355" s="3" t="s">
        <v>1027</v>
      </c>
      <c r="H3355" s="2" t="s">
        <v>36</v>
      </c>
      <c r="I3355" s="2" t="s">
        <v>7959</v>
      </c>
      <c r="J3355" s="3" t="str">
        <f>HYPERLINK("https://www.boe.es/gazeta/dias/1818/08/27/pdfs/GMD-1818-103.pdf#page=6","Abrir facsímil")</f>
        <v>Abrir facsímil</v>
      </c>
      <c r="K3355" s="3" t="s">
        <v>38</v>
      </c>
    </row>
    <row r="3356" spans="1:11" ht="42" customHeight="1">
      <c r="A3356" s="2" t="s">
        <v>7960</v>
      </c>
      <c r="B3356" s="2" t="s">
        <v>7961</v>
      </c>
      <c r="C3356" s="2" t="s">
        <v>26</v>
      </c>
      <c r="D3356" s="2" t="s">
        <v>27</v>
      </c>
      <c r="E3356" s="5">
        <v>-29710</v>
      </c>
      <c r="F3356" s="3" t="s">
        <v>1026</v>
      </c>
      <c r="G3356" s="3" t="s">
        <v>20</v>
      </c>
      <c r="H3356" s="2" t="s">
        <v>36</v>
      </c>
      <c r="I3356" s="2" t="s">
        <v>7962</v>
      </c>
      <c r="J3356" s="3" t="str">
        <f>HYPERLINK("https://www.boe.es/gazeta/dias/1818/08/27/pdfs/GMD-1818-103.pdf#page=7","Abrir facsímil")</f>
        <v>Abrir facsímil</v>
      </c>
      <c r="K3356" s="3" t="s">
        <v>38</v>
      </c>
    </row>
    <row r="3357" spans="1:11" ht="42" customHeight="1">
      <c r="A3357" s="2" t="s">
        <v>7963</v>
      </c>
      <c r="B3357" s="2" t="s">
        <v>7964</v>
      </c>
      <c r="C3357" s="2" t="s">
        <v>26</v>
      </c>
      <c r="D3357" s="2" t="s">
        <v>27</v>
      </c>
      <c r="E3357" s="5">
        <v>-29694</v>
      </c>
      <c r="F3357" s="3" t="s">
        <v>528</v>
      </c>
      <c r="G3357" s="3" t="s">
        <v>20</v>
      </c>
      <c r="H3357" s="2" t="s">
        <v>36</v>
      </c>
      <c r="I3357" s="2" t="s">
        <v>7965</v>
      </c>
      <c r="J3357" s="3" t="str">
        <f>HYPERLINK("https://www.boe.es/gazeta/dias/1818/09/12/pdfs/GMD-1818-110.pdf#page=7","Abrir facsímil")</f>
        <v>Abrir facsímil</v>
      </c>
      <c r="K3357" s="3" t="s">
        <v>38</v>
      </c>
    </row>
    <row r="3358" spans="1:11" ht="42" customHeight="1">
      <c r="A3358" s="2" t="s">
        <v>7966</v>
      </c>
      <c r="B3358" s="2" t="s">
        <v>7967</v>
      </c>
      <c r="C3358" s="2" t="s">
        <v>57</v>
      </c>
      <c r="D3358" s="2" t="s">
        <v>18</v>
      </c>
      <c r="E3358" s="5">
        <v>-29694</v>
      </c>
      <c r="F3358" s="3" t="s">
        <v>528</v>
      </c>
      <c r="G3358" s="3" t="s">
        <v>20</v>
      </c>
      <c r="H3358" s="2" t="s">
        <v>36</v>
      </c>
      <c r="I3358" s="2" t="s">
        <v>7968</v>
      </c>
      <c r="J3358" s="3" t="str">
        <f>HYPERLINK("https://www.boe.es/gazeta/dias/1818/09/12/pdfs/GMD-1818-110.pdf#page=7","Abrir facsímil")</f>
        <v>Abrir facsímil</v>
      </c>
      <c r="K3358" s="3" t="s">
        <v>38</v>
      </c>
    </row>
    <row r="3359" spans="1:11" ht="42" customHeight="1">
      <c r="A3359" s="2" t="s">
        <v>7969</v>
      </c>
      <c r="B3359" s="2" t="s">
        <v>7969</v>
      </c>
      <c r="C3359" s="2" t="s">
        <v>26</v>
      </c>
      <c r="D3359" s="2" t="s">
        <v>27</v>
      </c>
      <c r="E3359" s="5">
        <v>-29843</v>
      </c>
      <c r="F3359" s="3" t="s">
        <v>182</v>
      </c>
      <c r="G3359" s="3" t="s">
        <v>29</v>
      </c>
      <c r="H3359" s="2" t="s">
        <v>36</v>
      </c>
      <c r="I3359" s="2" t="s">
        <v>7970</v>
      </c>
      <c r="J3359" s="3" t="str">
        <f>HYPERLINK("https://www.boe.es/gazeta/dias/1818/04/16/pdfs/GMD-1818-46.pdf#page=4","Abrir facsímil")</f>
        <v>Abrir facsímil</v>
      </c>
      <c r="K3359" s="3" t="s">
        <v>38</v>
      </c>
    </row>
    <row r="3360" spans="1:11" ht="42" customHeight="1">
      <c r="A3360" s="2" t="s">
        <v>7971</v>
      </c>
      <c r="B3360" s="2" t="s">
        <v>7971</v>
      </c>
      <c r="C3360" s="2" t="s">
        <v>26</v>
      </c>
      <c r="D3360" s="2" t="s">
        <v>27</v>
      </c>
      <c r="E3360" s="5">
        <v>-29946</v>
      </c>
      <c r="F3360" s="3" t="s">
        <v>724</v>
      </c>
      <c r="G3360" s="3" t="s">
        <v>29</v>
      </c>
      <c r="H3360" s="2" t="s">
        <v>36</v>
      </c>
      <c r="I3360" s="2" t="s">
        <v>7972</v>
      </c>
      <c r="J3360" s="3" t="str">
        <f>HYPERLINK("https://www.boe.es/gazeta/dias/1818/01/03/pdfs/GMD-1818-2.pdf#page=4","Abrir facsímil")</f>
        <v>Abrir facsímil</v>
      </c>
      <c r="K3360" s="3" t="s">
        <v>38</v>
      </c>
    </row>
    <row r="3361" spans="1:11" ht="42" customHeight="1">
      <c r="A3361" s="2" t="s">
        <v>7971</v>
      </c>
      <c r="B3361" s="2" t="s">
        <v>7971</v>
      </c>
      <c r="C3361" s="2" t="s">
        <v>26</v>
      </c>
      <c r="D3361" s="2" t="s">
        <v>27</v>
      </c>
      <c r="E3361" s="5">
        <v>-29915</v>
      </c>
      <c r="F3361" s="3" t="s">
        <v>429</v>
      </c>
      <c r="G3361" s="3" t="s">
        <v>1142</v>
      </c>
      <c r="H3361" s="2" t="s">
        <v>36</v>
      </c>
      <c r="I3361" s="2" t="s">
        <v>7973</v>
      </c>
      <c r="J3361" s="3" t="str">
        <f>HYPERLINK("https://www.boe.es/gazeta/dias/1818/02/03/pdfs/GMD-1818-15.pdf#page=6","Abrir facsímil")</f>
        <v>Abrir facsímil</v>
      </c>
      <c r="K3361" s="3" t="s">
        <v>38</v>
      </c>
    </row>
    <row r="3362" spans="1:11" ht="42" customHeight="1">
      <c r="A3362" s="2" t="s">
        <v>7974</v>
      </c>
      <c r="B3362" s="2" t="s">
        <v>7975</v>
      </c>
      <c r="C3362" s="2" t="s">
        <v>57</v>
      </c>
      <c r="D3362" s="2" t="s">
        <v>18</v>
      </c>
      <c r="E3362" s="5">
        <v>-29815</v>
      </c>
      <c r="F3362" s="3" t="s">
        <v>2169</v>
      </c>
      <c r="G3362" s="3" t="s">
        <v>29</v>
      </c>
      <c r="H3362" s="2" t="s">
        <v>36</v>
      </c>
      <c r="I3362" s="2" t="s">
        <v>7976</v>
      </c>
      <c r="J3362" s="3" t="str">
        <f>HYPERLINK("https://www.boe.es/gazeta/dias/1818/05/14/pdfs/GMD-1818-58.pdf#page=4","Abrir facsímil")</f>
        <v>Abrir facsímil</v>
      </c>
      <c r="K3362" s="3" t="s">
        <v>38</v>
      </c>
    </row>
    <row r="3363" spans="1:11" ht="42" customHeight="1">
      <c r="A3363" s="2" t="s">
        <v>7977</v>
      </c>
      <c r="B3363" s="2" t="s">
        <v>7978</v>
      </c>
      <c r="C3363" s="2" t="s">
        <v>26</v>
      </c>
      <c r="D3363" s="2" t="s">
        <v>27</v>
      </c>
      <c r="E3363" s="5">
        <v>-29922</v>
      </c>
      <c r="F3363" s="3" t="s">
        <v>174</v>
      </c>
      <c r="G3363" s="3" t="s">
        <v>175</v>
      </c>
      <c r="H3363" s="2" t="s">
        <v>36</v>
      </c>
      <c r="I3363" s="2" t="s">
        <v>7979</v>
      </c>
      <c r="J3363" s="3" t="str">
        <f>HYPERLINK("https://www.boe.es/gazeta/dias/1818/01/27/pdfs/GMD-1818-12.pdf#page=5","Abrir facsímil")</f>
        <v>Abrir facsímil</v>
      </c>
      <c r="K3363" s="3" t="s">
        <v>38</v>
      </c>
    </row>
    <row r="3364" spans="1:11" ht="42" customHeight="1">
      <c r="A3364" s="2" t="s">
        <v>7980</v>
      </c>
      <c r="B3364" s="2" t="s">
        <v>7980</v>
      </c>
      <c r="C3364" s="2" t="s">
        <v>26</v>
      </c>
      <c r="D3364" s="2" t="s">
        <v>27</v>
      </c>
      <c r="E3364" s="5">
        <v>-29635</v>
      </c>
      <c r="F3364" s="3" t="s">
        <v>560</v>
      </c>
      <c r="G3364" s="3" t="s">
        <v>7981</v>
      </c>
      <c r="H3364" s="2" t="s">
        <v>36</v>
      </c>
      <c r="I3364" s="2" t="s">
        <v>7982</v>
      </c>
      <c r="J3364" s="3" t="str">
        <f>HYPERLINK("https://www.boe.es/gazeta/dias/1818/11/10/pdfs/GMD-1818-136.pdf#page=4","Abrir facsímil")</f>
        <v>Abrir facsímil</v>
      </c>
      <c r="K3364" s="3" t="s">
        <v>38</v>
      </c>
    </row>
    <row r="3365" spans="1:11" ht="42" customHeight="1">
      <c r="A3365" s="2" t="s">
        <v>7983</v>
      </c>
      <c r="B3365" s="2" t="s">
        <v>7983</v>
      </c>
      <c r="C3365" s="2" t="s">
        <v>26</v>
      </c>
      <c r="D3365" s="2" t="s">
        <v>27</v>
      </c>
      <c r="E3365" s="5">
        <v>-29908</v>
      </c>
      <c r="F3365" s="3" t="s">
        <v>695</v>
      </c>
      <c r="G3365" s="3" t="s">
        <v>85</v>
      </c>
      <c r="H3365" s="2" t="s">
        <v>36</v>
      </c>
      <c r="I3365" s="2" t="s">
        <v>7984</v>
      </c>
      <c r="J3365" s="3" t="str">
        <f>HYPERLINK("https://www.boe.es/gazeta/dias/1818/02/10/pdfs/GMD-1818-18.pdf#page=3","Abrir facsímil")</f>
        <v>Abrir facsímil</v>
      </c>
      <c r="K3365" s="3" t="s">
        <v>38</v>
      </c>
    </row>
    <row r="3366" spans="1:11" ht="42" customHeight="1">
      <c r="A3366" s="2" t="s">
        <v>7985</v>
      </c>
      <c r="B3366" s="2" t="s">
        <v>7986</v>
      </c>
      <c r="C3366" s="2" t="s">
        <v>33</v>
      </c>
      <c r="D3366" s="2" t="s">
        <v>18</v>
      </c>
      <c r="E3366" s="5">
        <v>-29736</v>
      </c>
      <c r="F3366" s="3" t="s">
        <v>581</v>
      </c>
      <c r="G3366" s="3" t="s">
        <v>20</v>
      </c>
      <c r="H3366" s="2" t="s">
        <v>36</v>
      </c>
      <c r="I3366" s="2" t="s">
        <v>7987</v>
      </c>
      <c r="J3366" s="3" t="str">
        <f>HYPERLINK("https://www.boe.es/gazeta/dias/1818/08/01/pdfs/GMD-1818-92.pdf#page=7","Abrir facsímil")</f>
        <v>Abrir facsímil</v>
      </c>
      <c r="K3366" s="3" t="s">
        <v>38</v>
      </c>
    </row>
    <row r="3367" spans="1:11" ht="42" customHeight="1">
      <c r="A3367" s="2" t="s">
        <v>7988</v>
      </c>
      <c r="B3367" s="2" t="s">
        <v>7988</v>
      </c>
      <c r="C3367" s="2" t="s">
        <v>17</v>
      </c>
      <c r="D3367" s="2" t="s">
        <v>18</v>
      </c>
      <c r="E3367" s="5">
        <v>-29736</v>
      </c>
      <c r="F3367" s="3" t="s">
        <v>581</v>
      </c>
      <c r="G3367" s="3" t="s">
        <v>106</v>
      </c>
      <c r="H3367" s="2" t="s">
        <v>36</v>
      </c>
      <c r="I3367" s="2" t="s">
        <v>7989</v>
      </c>
      <c r="J3367" s="3" t="str">
        <f>HYPERLINK("https://www.boe.es/gazeta/dias/1818/08/01/pdfs/GMD-1818-92.pdf#page=5","Abrir facsímil")</f>
        <v>Abrir facsímil</v>
      </c>
      <c r="K3367" s="3" t="s">
        <v>38</v>
      </c>
    </row>
    <row r="3368" spans="1:11" ht="42" customHeight="1">
      <c r="A3368" s="2" t="s">
        <v>7990</v>
      </c>
      <c r="B3368" s="2" t="s">
        <v>7991</v>
      </c>
      <c r="C3368" s="2" t="s">
        <v>26</v>
      </c>
      <c r="D3368" s="2" t="s">
        <v>27</v>
      </c>
      <c r="E3368" s="5">
        <v>-29892</v>
      </c>
      <c r="F3368" s="3" t="s">
        <v>39</v>
      </c>
      <c r="G3368" s="3" t="s">
        <v>3970</v>
      </c>
      <c r="H3368" s="2" t="s">
        <v>36</v>
      </c>
      <c r="I3368" s="2" t="s">
        <v>7992</v>
      </c>
      <c r="J3368" s="3" t="str">
        <f>HYPERLINK("https://www.boe.es/gazeta/dias/1818/02/26/pdfs/GMD-1818-25.pdf#page=4","Abrir facsímil")</f>
        <v>Abrir facsímil</v>
      </c>
      <c r="K3368" s="3" t="s">
        <v>38</v>
      </c>
    </row>
    <row r="3369" spans="1:11" ht="42" customHeight="1">
      <c r="A3369" s="2" t="s">
        <v>7993</v>
      </c>
      <c r="B3369" s="2" t="s">
        <v>7994</v>
      </c>
      <c r="C3369" s="2" t="s">
        <v>33</v>
      </c>
      <c r="D3369" s="2" t="s">
        <v>18</v>
      </c>
      <c r="E3369" s="5">
        <v>-29628</v>
      </c>
      <c r="F3369" s="3" t="s">
        <v>58</v>
      </c>
      <c r="G3369" s="3" t="s">
        <v>106</v>
      </c>
      <c r="H3369" s="2" t="s">
        <v>36</v>
      </c>
      <c r="I3369" s="2" t="s">
        <v>7995</v>
      </c>
      <c r="J3369" s="3" t="str">
        <f>HYPERLINK("https://www.boe.es/gazeta/dias/1818/11/17/pdfs/GMD-1818-139.pdf#page=5","Abrir facsímil")</f>
        <v>Abrir facsímil</v>
      </c>
      <c r="K3369" s="3" t="s">
        <v>38</v>
      </c>
    </row>
    <row r="3370" spans="1:11" ht="42" customHeight="1">
      <c r="A3370" s="2" t="s">
        <v>7996</v>
      </c>
      <c r="B3370" s="2" t="s">
        <v>7997</v>
      </c>
      <c r="C3370" s="2" t="s">
        <v>26</v>
      </c>
      <c r="D3370" s="2" t="s">
        <v>27</v>
      </c>
      <c r="E3370" s="5">
        <v>-29663</v>
      </c>
      <c r="F3370" s="3" t="s">
        <v>1011</v>
      </c>
      <c r="G3370" s="3" t="s">
        <v>106</v>
      </c>
      <c r="H3370" s="2" t="s">
        <v>36</v>
      </c>
      <c r="I3370" s="2" t="s">
        <v>7998</v>
      </c>
      <c r="J3370" s="3" t="str">
        <f>HYPERLINK("https://www.boe.es/gazeta/dias/1818/10/13/pdfs/GMD-1818-123.pdf#page=5","Abrir facsímil")</f>
        <v>Abrir facsímil</v>
      </c>
      <c r="K3370" s="3" t="s">
        <v>38</v>
      </c>
    </row>
    <row r="3371" spans="1:11" ht="42" customHeight="1">
      <c r="A3371" s="2" t="s">
        <v>7999</v>
      </c>
      <c r="B3371" s="2" t="s">
        <v>8000</v>
      </c>
      <c r="C3371" s="2" t="s">
        <v>68</v>
      </c>
      <c r="D3371" s="2" t="s">
        <v>69</v>
      </c>
      <c r="E3371" s="5">
        <v>-29838</v>
      </c>
      <c r="F3371" s="3" t="s">
        <v>593</v>
      </c>
      <c r="G3371" s="3" t="s">
        <v>59</v>
      </c>
      <c r="H3371" s="2" t="s">
        <v>36</v>
      </c>
      <c r="I3371" s="2" t="s">
        <v>8001</v>
      </c>
      <c r="J3371" s="3" t="str">
        <f>HYPERLINK("https://www.boe.es/gazeta/dias/1818/04/21/pdfs/GMD-1818-48.pdf#page=6","Abrir facsímil")</f>
        <v>Abrir facsímil</v>
      </c>
      <c r="K3371" s="3" t="s">
        <v>38</v>
      </c>
    </row>
    <row r="3372" spans="1:11" ht="42" customHeight="1">
      <c r="A3372" s="2" t="s">
        <v>8002</v>
      </c>
      <c r="B3372" s="2" t="s">
        <v>8003</v>
      </c>
      <c r="C3372" s="2" t="s">
        <v>26</v>
      </c>
      <c r="D3372" s="2" t="s">
        <v>27</v>
      </c>
      <c r="E3372" s="5">
        <v>-29738</v>
      </c>
      <c r="F3372" s="3" t="s">
        <v>263</v>
      </c>
      <c r="G3372" s="3" t="s">
        <v>45</v>
      </c>
      <c r="H3372" s="2" t="s">
        <v>36</v>
      </c>
      <c r="I3372" s="2" t="s">
        <v>8004</v>
      </c>
      <c r="J3372" s="3" t="str">
        <f>HYPERLINK("https://www.boe.es/gazeta/dias/1818/07/30/pdfs/GMD-1818-91.pdf#page=8","Abrir facsímil")</f>
        <v>Abrir facsímil</v>
      </c>
      <c r="K3372" s="3" t="s">
        <v>38</v>
      </c>
    </row>
    <row r="3373" spans="1:11" ht="42" customHeight="1">
      <c r="A3373" s="2" t="s">
        <v>8005</v>
      </c>
      <c r="B3373" s="2" t="s">
        <v>8006</v>
      </c>
      <c r="C3373" s="2" t="s">
        <v>17</v>
      </c>
      <c r="D3373" s="2" t="s">
        <v>18</v>
      </c>
      <c r="E3373" s="5">
        <v>-29771</v>
      </c>
      <c r="F3373" s="3" t="s">
        <v>1260</v>
      </c>
      <c r="G3373" s="3" t="s">
        <v>4136</v>
      </c>
      <c r="H3373" s="2" t="s">
        <v>36</v>
      </c>
      <c r="I3373" s="2" t="s">
        <v>8007</v>
      </c>
      <c r="J3373" s="3" t="str">
        <f>HYPERLINK("https://www.boe.es/gazeta/dias/1818/06/27/pdfs/GMD-1818-77.pdf#page=4","Abrir facsímil")</f>
        <v>Abrir facsímil</v>
      </c>
      <c r="K3373" s="3" t="s">
        <v>38</v>
      </c>
    </row>
    <row r="3374" spans="1:11" ht="42" customHeight="1">
      <c r="A3374" s="2" t="s">
        <v>8005</v>
      </c>
      <c r="B3374" s="2" t="s">
        <v>8006</v>
      </c>
      <c r="C3374" s="2" t="s">
        <v>57</v>
      </c>
      <c r="D3374" s="2" t="s">
        <v>18</v>
      </c>
      <c r="E3374" s="5">
        <v>-29771</v>
      </c>
      <c r="F3374" s="3" t="s">
        <v>1260</v>
      </c>
      <c r="G3374" s="3" t="s">
        <v>106</v>
      </c>
      <c r="H3374" s="2" t="s">
        <v>36</v>
      </c>
      <c r="I3374" s="2" t="s">
        <v>8008</v>
      </c>
      <c r="J3374" s="3" t="str">
        <f>HYPERLINK("https://www.boe.es/gazeta/dias/1818/06/27/pdfs/GMD-1818-77.pdf#page=5","Abrir facsímil")</f>
        <v>Abrir facsímil</v>
      </c>
      <c r="K3374" s="3" t="s">
        <v>38</v>
      </c>
    </row>
    <row r="3375" spans="1:11" ht="42" customHeight="1">
      <c r="A3375" s="2" t="s">
        <v>8009</v>
      </c>
      <c r="B3375" s="2" t="s">
        <v>8010</v>
      </c>
      <c r="C3375" s="2" t="s">
        <v>26</v>
      </c>
      <c r="D3375" s="2" t="s">
        <v>668</v>
      </c>
      <c r="E3375" s="5">
        <v>-29661</v>
      </c>
      <c r="F3375" s="3" t="s">
        <v>669</v>
      </c>
      <c r="G3375" s="3" t="s">
        <v>85</v>
      </c>
      <c r="H3375" s="2" t="s">
        <v>36</v>
      </c>
      <c r="I3375" s="2" t="s">
        <v>8011</v>
      </c>
      <c r="J3375" s="3" t="str">
        <f>HYPERLINK("https://www.boe.es/gazeta/dias/1818/10/15/pdfs/GMD-1818-125E.pdf#page=3","Abrir facsímil")</f>
        <v>Abrir facsímil</v>
      </c>
      <c r="K3375" s="3" t="s">
        <v>38</v>
      </c>
    </row>
    <row r="3376" spans="1:11" ht="42" customHeight="1">
      <c r="A3376" s="2" t="s">
        <v>8012</v>
      </c>
      <c r="B3376" s="2" t="s">
        <v>8013</v>
      </c>
      <c r="C3376" s="2" t="s">
        <v>17</v>
      </c>
      <c r="D3376" s="2" t="s">
        <v>18</v>
      </c>
      <c r="E3376" s="5">
        <v>-29934</v>
      </c>
      <c r="F3376" s="3" t="s">
        <v>53</v>
      </c>
      <c r="G3376" s="3" t="s">
        <v>20</v>
      </c>
      <c r="H3376" s="2" t="s">
        <v>21</v>
      </c>
      <c r="I3376" s="2" t="s">
        <v>8014</v>
      </c>
      <c r="J3376" s="3" t="str">
        <f>HYPERLINK("https://www.boe.es/gazeta/dias/1818/01/15/pdfs/GMD-1818-7.pdf#page=7","Abrir facsímil")</f>
        <v>Abrir facsímil</v>
      </c>
      <c r="K3376" s="3" t="s">
        <v>23</v>
      </c>
    </row>
    <row r="3377" spans="1:11" ht="42" customHeight="1">
      <c r="A3377" s="2" t="s">
        <v>8015</v>
      </c>
      <c r="B3377" s="2" t="s">
        <v>8016</v>
      </c>
      <c r="C3377" s="2" t="s">
        <v>26</v>
      </c>
      <c r="D3377" s="2" t="s">
        <v>27</v>
      </c>
      <c r="E3377" s="5">
        <v>-29934</v>
      </c>
      <c r="F3377" s="3" t="s">
        <v>53</v>
      </c>
      <c r="G3377" s="3" t="s">
        <v>59</v>
      </c>
      <c r="H3377" s="2" t="s">
        <v>36</v>
      </c>
      <c r="I3377" s="2" t="s">
        <v>8017</v>
      </c>
      <c r="J3377" s="3" t="str">
        <f>HYPERLINK("https://www.boe.es/gazeta/dias/1818/01/15/pdfs/GMD-1818-7.pdf#page=6","Abrir facsímil")</f>
        <v>Abrir facsímil</v>
      </c>
      <c r="K3377" s="3" t="s">
        <v>38</v>
      </c>
    </row>
    <row r="3378" spans="1:11" ht="42" customHeight="1">
      <c r="A3378" s="2" t="s">
        <v>8018</v>
      </c>
      <c r="B3378" s="2" t="s">
        <v>8019</v>
      </c>
      <c r="C3378" s="2" t="s">
        <v>26</v>
      </c>
      <c r="D3378" s="2" t="s">
        <v>27</v>
      </c>
      <c r="E3378" s="5">
        <v>-29677</v>
      </c>
      <c r="F3378" s="3" t="s">
        <v>157</v>
      </c>
      <c r="G3378" s="3" t="s">
        <v>20</v>
      </c>
      <c r="H3378" s="2" t="s">
        <v>36</v>
      </c>
      <c r="I3378" s="2" t="s">
        <v>8020</v>
      </c>
      <c r="J3378" s="3" t="str">
        <f>HYPERLINK("https://www.boe.es/gazeta/dias/1818/09/29/pdfs/GMD-1818-117.pdf#page=7","Abrir facsímil")</f>
        <v>Abrir facsímil</v>
      </c>
      <c r="K3378" s="3" t="s">
        <v>38</v>
      </c>
    </row>
    <row r="3379" spans="1:11" ht="42" customHeight="1">
      <c r="A3379" s="2" t="s">
        <v>8021</v>
      </c>
      <c r="B3379" s="2" t="s">
        <v>8022</v>
      </c>
      <c r="C3379" s="2" t="s">
        <v>17</v>
      </c>
      <c r="D3379" s="2" t="s">
        <v>18</v>
      </c>
      <c r="E3379" s="5">
        <v>-29631</v>
      </c>
      <c r="F3379" s="3" t="s">
        <v>743</v>
      </c>
      <c r="G3379" s="3" t="s">
        <v>49</v>
      </c>
      <c r="H3379" s="2" t="s">
        <v>36</v>
      </c>
      <c r="I3379" s="2" t="s">
        <v>8023</v>
      </c>
      <c r="J3379" s="3" t="str">
        <f>HYPERLINK("https://www.boe.es/gazeta/dias/1818/11/14/pdfs/GMD-1818-138.pdf#page=1","Abrir facsímil")</f>
        <v>Abrir facsímil</v>
      </c>
      <c r="K3379" s="3" t="s">
        <v>38</v>
      </c>
    </row>
    <row r="3380" spans="1:11" ht="42" customHeight="1">
      <c r="A3380" s="2" t="s">
        <v>8024</v>
      </c>
      <c r="B3380" s="2" t="s">
        <v>8025</v>
      </c>
      <c r="C3380" s="2" t="s">
        <v>68</v>
      </c>
      <c r="D3380" s="2" t="s">
        <v>69</v>
      </c>
      <c r="E3380" s="5">
        <v>-29740</v>
      </c>
      <c r="F3380" s="3" t="s">
        <v>152</v>
      </c>
      <c r="G3380" s="3" t="s">
        <v>85</v>
      </c>
      <c r="H3380" s="2" t="s">
        <v>36</v>
      </c>
      <c r="I3380" s="2" t="s">
        <v>8026</v>
      </c>
      <c r="J3380" s="3" t="str">
        <f>HYPERLINK("https://www.boe.es/gazeta/dias/1818/07/28/pdfs/GMD-1818-90.pdf#page=3","Abrir facsímil")</f>
        <v>Abrir facsímil</v>
      </c>
      <c r="K3380" s="3" t="s">
        <v>38</v>
      </c>
    </row>
    <row r="3381" spans="1:11" ht="42" customHeight="1">
      <c r="A3381" s="2" t="s">
        <v>8027</v>
      </c>
      <c r="B3381" s="2" t="s">
        <v>8028</v>
      </c>
      <c r="C3381" s="2" t="s">
        <v>68</v>
      </c>
      <c r="D3381" s="2" t="s">
        <v>69</v>
      </c>
      <c r="E3381" s="5">
        <v>-29852</v>
      </c>
      <c r="F3381" s="3" t="s">
        <v>327</v>
      </c>
      <c r="G3381" s="3" t="s">
        <v>106</v>
      </c>
      <c r="H3381" s="2" t="s">
        <v>36</v>
      </c>
      <c r="I3381" s="2" t="s">
        <v>8029</v>
      </c>
      <c r="J3381" s="3" t="str">
        <f>HYPERLINK("https://www.boe.es/gazeta/dias/1818/04/07/pdfs/GMD-1818-42.pdf#page=5","Abrir facsímil")</f>
        <v>Abrir facsímil</v>
      </c>
      <c r="K3381" s="3" t="s">
        <v>38</v>
      </c>
    </row>
    <row r="3382" spans="1:11" ht="42" customHeight="1">
      <c r="A3382" s="2" t="s">
        <v>8027</v>
      </c>
      <c r="B3382" s="2" t="s">
        <v>8028</v>
      </c>
      <c r="C3382" s="2" t="s">
        <v>17</v>
      </c>
      <c r="D3382" s="2" t="s">
        <v>18</v>
      </c>
      <c r="E3382" s="5">
        <v>-29813</v>
      </c>
      <c r="F3382" s="3" t="s">
        <v>839</v>
      </c>
      <c r="G3382" s="3" t="s">
        <v>20</v>
      </c>
      <c r="H3382" s="2" t="s">
        <v>36</v>
      </c>
      <c r="I3382" s="2" t="s">
        <v>8030</v>
      </c>
      <c r="J3382" s="3" t="str">
        <f>HYPERLINK("https://www.boe.es/gazeta/dias/1818/05/16/pdfs/GMD-1818-59.pdf#page=7","Abrir facsímil")</f>
        <v>Abrir facsímil</v>
      </c>
      <c r="K3382" s="3" t="s">
        <v>38</v>
      </c>
    </row>
    <row r="3383" spans="1:11" ht="42" customHeight="1">
      <c r="A3383" s="2" t="s">
        <v>8027</v>
      </c>
      <c r="B3383" s="2" t="s">
        <v>8028</v>
      </c>
      <c r="C3383" s="2" t="s">
        <v>26</v>
      </c>
      <c r="D3383" s="2" t="s">
        <v>27</v>
      </c>
      <c r="E3383" s="5">
        <v>-29731</v>
      </c>
      <c r="F3383" s="3" t="s">
        <v>299</v>
      </c>
      <c r="G3383" s="3" t="s">
        <v>106</v>
      </c>
      <c r="H3383" s="2" t="s">
        <v>36</v>
      </c>
      <c r="I3383" s="2" t="s">
        <v>8031</v>
      </c>
      <c r="J3383" s="3" t="str">
        <f>HYPERLINK("https://www.boe.es/gazeta/dias/1818/08/06/pdfs/GMD-1818-94.pdf#page=5","Abrir facsímil")</f>
        <v>Abrir facsímil</v>
      </c>
      <c r="K3383" s="3" t="s">
        <v>38</v>
      </c>
    </row>
    <row r="3384" spans="1:11" ht="42" customHeight="1">
      <c r="A3384" s="2" t="s">
        <v>8032</v>
      </c>
      <c r="B3384" s="2" t="s">
        <v>8033</v>
      </c>
      <c r="C3384" s="2" t="s">
        <v>68</v>
      </c>
      <c r="D3384" s="2" t="s">
        <v>668</v>
      </c>
      <c r="E3384" s="5">
        <v>-29661</v>
      </c>
      <c r="F3384" s="3" t="s">
        <v>669</v>
      </c>
      <c r="G3384" s="3" t="s">
        <v>49</v>
      </c>
      <c r="H3384" s="2" t="s">
        <v>21</v>
      </c>
      <c r="I3384" s="2" t="s">
        <v>8034</v>
      </c>
      <c r="J3384" s="3" t="str">
        <f>HYPERLINK("https://www.boe.es/gazeta/dias/1818/10/15/pdfs/GMD-1818-125E.pdf#page=1","Abrir facsímil")</f>
        <v>Abrir facsímil</v>
      </c>
      <c r="K3384" s="3" t="s">
        <v>23</v>
      </c>
    </row>
    <row r="3385" spans="1:11" ht="42" customHeight="1">
      <c r="A3385" s="2" t="s">
        <v>8035</v>
      </c>
      <c r="B3385" s="2" t="s">
        <v>8036</v>
      </c>
      <c r="C3385" s="2" t="s">
        <v>68</v>
      </c>
      <c r="D3385" s="2" t="s">
        <v>69</v>
      </c>
      <c r="E3385" s="5">
        <v>-29722</v>
      </c>
      <c r="F3385" s="3" t="s">
        <v>1127</v>
      </c>
      <c r="G3385" s="3" t="s">
        <v>85</v>
      </c>
      <c r="H3385" s="2" t="s">
        <v>21</v>
      </c>
      <c r="I3385" s="2" t="s">
        <v>8037</v>
      </c>
      <c r="J3385" s="3" t="str">
        <f>HYPERLINK("https://www.boe.es/gazeta/dias/1818/08/15/pdfs/GMD-1818-98.pdf#page=3","Abrir facsímil")</f>
        <v>Abrir facsímil</v>
      </c>
      <c r="K3385" s="3" t="s">
        <v>23</v>
      </c>
    </row>
    <row r="3386" spans="1:11" ht="42" customHeight="1">
      <c r="A3386" s="2" t="s">
        <v>8038</v>
      </c>
      <c r="B3386" s="2" t="s">
        <v>8039</v>
      </c>
      <c r="C3386" s="2" t="s">
        <v>68</v>
      </c>
      <c r="D3386" s="2" t="s">
        <v>69</v>
      </c>
      <c r="E3386" s="5">
        <v>-29827</v>
      </c>
      <c r="F3386" s="3" t="s">
        <v>280</v>
      </c>
      <c r="G3386" s="3" t="s">
        <v>106</v>
      </c>
      <c r="H3386" s="2" t="s">
        <v>21</v>
      </c>
      <c r="I3386" s="2" t="s">
        <v>8040</v>
      </c>
      <c r="J3386" s="3" t="str">
        <f>HYPERLINK("https://www.boe.es/gazeta/dias/1818/05/02/pdfs/GMD-1818-53.pdf#page=5","Abrir facsímil")</f>
        <v>Abrir facsímil</v>
      </c>
      <c r="K3386" s="3" t="s">
        <v>23</v>
      </c>
    </row>
    <row r="3387" spans="1:11" ht="42" customHeight="1">
      <c r="A3387" s="2" t="s">
        <v>8041</v>
      </c>
      <c r="B3387" s="2" t="s">
        <v>8042</v>
      </c>
      <c r="C3387" s="2" t="s">
        <v>17</v>
      </c>
      <c r="D3387" s="2" t="s">
        <v>18</v>
      </c>
      <c r="E3387" s="5">
        <v>-29738</v>
      </c>
      <c r="F3387" s="3" t="s">
        <v>263</v>
      </c>
      <c r="G3387" s="3" t="s">
        <v>59</v>
      </c>
      <c r="H3387" s="2" t="s">
        <v>36</v>
      </c>
      <c r="I3387" s="2" t="s">
        <v>8043</v>
      </c>
      <c r="J3387" s="3" t="str">
        <f>HYPERLINK("https://www.boe.es/gazeta/dias/1818/07/30/pdfs/GMD-1818-91.pdf#page=6","Abrir facsímil")</f>
        <v>Abrir facsímil</v>
      </c>
      <c r="K3387" s="3" t="s">
        <v>38</v>
      </c>
    </row>
    <row r="3388" spans="1:11" ht="42" customHeight="1">
      <c r="A3388" s="2" t="s">
        <v>8041</v>
      </c>
      <c r="B3388" s="2" t="s">
        <v>8042</v>
      </c>
      <c r="C3388" s="2" t="s">
        <v>26</v>
      </c>
      <c r="D3388" s="2" t="s">
        <v>27</v>
      </c>
      <c r="E3388" s="5">
        <v>-29719</v>
      </c>
      <c r="F3388" s="3" t="s">
        <v>243</v>
      </c>
      <c r="G3388" s="3" t="s">
        <v>59</v>
      </c>
      <c r="H3388" s="2" t="s">
        <v>36</v>
      </c>
      <c r="I3388" s="2" t="s">
        <v>8044</v>
      </c>
      <c r="J3388" s="3" t="str">
        <f>HYPERLINK("https://www.boe.es/gazeta/dias/1818/08/18/pdfs/GMD-1818-99.pdf#page=6","Abrir facsímil")</f>
        <v>Abrir facsímil</v>
      </c>
      <c r="K3388" s="3" t="s">
        <v>38</v>
      </c>
    </row>
    <row r="3389" spans="1:11" ht="42" customHeight="1">
      <c r="A3389" s="2" t="s">
        <v>8045</v>
      </c>
      <c r="B3389" s="2" t="s">
        <v>8046</v>
      </c>
      <c r="C3389" s="2" t="s">
        <v>33</v>
      </c>
      <c r="D3389" s="2" t="s">
        <v>18</v>
      </c>
      <c r="E3389" s="5">
        <v>-29698</v>
      </c>
      <c r="F3389" s="3" t="s">
        <v>148</v>
      </c>
      <c r="G3389" s="3" t="s">
        <v>29</v>
      </c>
      <c r="H3389" s="2" t="s">
        <v>36</v>
      </c>
      <c r="I3389" s="2" t="s">
        <v>8047</v>
      </c>
      <c r="J3389" s="3" t="str">
        <f>HYPERLINK("https://www.boe.es/gazeta/dias/1818/09/08/pdfs/GMD-1818-108.pdf#page=4","Abrir facsímil")</f>
        <v>Abrir facsímil</v>
      </c>
      <c r="K3389" s="3" t="s">
        <v>38</v>
      </c>
    </row>
    <row r="3390" spans="1:11" ht="42" customHeight="1">
      <c r="A3390" s="2" t="s">
        <v>8048</v>
      </c>
      <c r="B3390" s="2" t="s">
        <v>8049</v>
      </c>
      <c r="C3390" s="2" t="s">
        <v>57</v>
      </c>
      <c r="D3390" s="2" t="s">
        <v>18</v>
      </c>
      <c r="E3390" s="5">
        <v>-29724</v>
      </c>
      <c r="F3390" s="3" t="s">
        <v>370</v>
      </c>
      <c r="G3390" s="3" t="s">
        <v>106</v>
      </c>
      <c r="H3390" s="2" t="s">
        <v>36</v>
      </c>
      <c r="I3390" s="2" t="s">
        <v>8050</v>
      </c>
      <c r="J3390" s="3" t="str">
        <f>HYPERLINK("https://www.boe.es/gazeta/dias/1818/08/13/pdfs/GMD-1818-97.pdf#page=5","Abrir facsímil")</f>
        <v>Abrir facsímil</v>
      </c>
      <c r="K3390" s="3" t="s">
        <v>38</v>
      </c>
    </row>
    <row r="3391" spans="1:11" ht="42" customHeight="1">
      <c r="A3391" s="2" t="s">
        <v>8051</v>
      </c>
      <c r="B3391" s="2" t="s">
        <v>8051</v>
      </c>
      <c r="C3391" s="2" t="s">
        <v>26</v>
      </c>
      <c r="D3391" s="2" t="s">
        <v>27</v>
      </c>
      <c r="E3391" s="5">
        <v>-29871</v>
      </c>
      <c r="F3391" s="3" t="s">
        <v>641</v>
      </c>
      <c r="G3391" s="3" t="s">
        <v>49</v>
      </c>
      <c r="H3391" s="2" t="s">
        <v>36</v>
      </c>
      <c r="I3391" s="2" t="s">
        <v>8052</v>
      </c>
      <c r="J3391" s="3" t="str">
        <f>HYPERLINK("https://www.boe.es/gazeta/dias/1818/03/19/pdfs/GMD-1818-34.pdf#page=1","Abrir facsímil")</f>
        <v>Abrir facsímil</v>
      </c>
      <c r="K3391" s="3" t="s">
        <v>38</v>
      </c>
    </row>
    <row r="3392" spans="1:11" ht="42" customHeight="1">
      <c r="A3392" s="2" t="s">
        <v>8053</v>
      </c>
      <c r="B3392" s="2" t="s">
        <v>8054</v>
      </c>
      <c r="C3392" s="2" t="s">
        <v>68</v>
      </c>
      <c r="D3392" s="2" t="s">
        <v>668</v>
      </c>
      <c r="E3392" s="5">
        <v>-29661</v>
      </c>
      <c r="F3392" s="3" t="s">
        <v>669</v>
      </c>
      <c r="G3392" s="3" t="s">
        <v>29</v>
      </c>
      <c r="H3392" s="2" t="s">
        <v>36</v>
      </c>
      <c r="I3392" s="2" t="s">
        <v>8055</v>
      </c>
      <c r="J3392" s="3" t="str">
        <f>HYPERLINK("https://www.boe.es/gazeta/dias/1818/10/15/pdfs/GMD-1818-125E.pdf#page=4","Abrir facsímil")</f>
        <v>Abrir facsímil</v>
      </c>
      <c r="K3392" s="3" t="s">
        <v>38</v>
      </c>
    </row>
    <row r="3393" spans="1:11" ht="42" customHeight="1">
      <c r="A3393" s="2" t="s">
        <v>8056</v>
      </c>
      <c r="B3393" s="2" t="s">
        <v>8057</v>
      </c>
      <c r="C3393" s="2" t="s">
        <v>68</v>
      </c>
      <c r="D3393" s="2" t="s">
        <v>668</v>
      </c>
      <c r="E3393" s="5">
        <v>-29661</v>
      </c>
      <c r="F3393" s="3" t="s">
        <v>669</v>
      </c>
      <c r="G3393" s="3" t="s">
        <v>85</v>
      </c>
      <c r="H3393" s="2" t="s">
        <v>36</v>
      </c>
      <c r="I3393" s="2" t="s">
        <v>8058</v>
      </c>
      <c r="J3393" s="3" t="str">
        <f>HYPERLINK("https://www.boe.es/gazeta/dias/1818/10/15/pdfs/GMD-1818-125E.pdf#page=3","Abrir facsímil")</f>
        <v>Abrir facsímil</v>
      </c>
      <c r="K3393" s="3" t="s">
        <v>38</v>
      </c>
    </row>
    <row r="3394" spans="1:11" ht="42" customHeight="1">
      <c r="A3394" s="2" t="s">
        <v>8059</v>
      </c>
      <c r="B3394" s="2" t="s">
        <v>8060</v>
      </c>
      <c r="C3394" s="2" t="s">
        <v>68</v>
      </c>
      <c r="D3394" s="2" t="s">
        <v>668</v>
      </c>
      <c r="E3394" s="5">
        <v>-29661</v>
      </c>
      <c r="F3394" s="3" t="s">
        <v>669</v>
      </c>
      <c r="G3394" s="3" t="s">
        <v>29</v>
      </c>
      <c r="H3394" s="2" t="s">
        <v>36</v>
      </c>
      <c r="I3394" s="2" t="s">
        <v>8061</v>
      </c>
      <c r="J3394" s="3" t="str">
        <f>HYPERLINK("https://www.boe.es/gazeta/dias/1818/10/15/pdfs/GMD-1818-125E.pdf#page=4","Abrir facsímil")</f>
        <v>Abrir facsímil</v>
      </c>
      <c r="K3394" s="3" t="s">
        <v>38</v>
      </c>
    </row>
    <row r="3395" spans="1:11" ht="42" customHeight="1">
      <c r="A3395" s="2" t="s">
        <v>8062</v>
      </c>
      <c r="B3395" s="2" t="s">
        <v>8063</v>
      </c>
      <c r="C3395" s="2" t="s">
        <v>26</v>
      </c>
      <c r="D3395" s="2" t="s">
        <v>27</v>
      </c>
      <c r="E3395" s="5">
        <v>-29876</v>
      </c>
      <c r="F3395" s="3" t="s">
        <v>338</v>
      </c>
      <c r="G3395" s="3" t="s">
        <v>29</v>
      </c>
      <c r="H3395" s="2" t="s">
        <v>36</v>
      </c>
      <c r="I3395" s="2" t="s">
        <v>8064</v>
      </c>
      <c r="J3395" s="3" t="str">
        <f>HYPERLINK("https://www.boe.es/gazeta/dias/1818/03/14/pdfs/GMD-1818-32.pdf#page=4","Abrir facsímil")</f>
        <v>Abrir facsímil</v>
      </c>
      <c r="K3395" s="3" t="s">
        <v>38</v>
      </c>
    </row>
    <row r="3396" spans="1:11" ht="42" customHeight="1">
      <c r="A3396" s="2" t="s">
        <v>8065</v>
      </c>
      <c r="B3396" s="2" t="s">
        <v>8066</v>
      </c>
      <c r="C3396" s="2" t="s">
        <v>17</v>
      </c>
      <c r="D3396" s="2" t="s">
        <v>18</v>
      </c>
      <c r="E3396" s="5">
        <v>-29682</v>
      </c>
      <c r="F3396" s="3" t="s">
        <v>170</v>
      </c>
      <c r="G3396" s="3" t="s">
        <v>85</v>
      </c>
      <c r="H3396" s="2" t="s">
        <v>36</v>
      </c>
      <c r="I3396" s="2" t="s">
        <v>8067</v>
      </c>
      <c r="J3396" s="3" t="str">
        <f>HYPERLINK("https://www.boe.es/gazeta/dias/1818/09/24/pdfs/GMD-1818-115.pdf#page=3","Abrir facsímil")</f>
        <v>Abrir facsímil</v>
      </c>
      <c r="K3396" s="3" t="s">
        <v>38</v>
      </c>
    </row>
    <row r="3397" spans="1:11" ht="42" customHeight="1">
      <c r="A3397" s="2" t="s">
        <v>8068</v>
      </c>
      <c r="B3397" s="2" t="s">
        <v>8069</v>
      </c>
      <c r="C3397" s="2" t="s">
        <v>17</v>
      </c>
      <c r="D3397" s="2" t="s">
        <v>18</v>
      </c>
      <c r="E3397" s="5">
        <v>-29906</v>
      </c>
      <c r="F3397" s="3" t="s">
        <v>28</v>
      </c>
      <c r="G3397" s="3" t="s">
        <v>20</v>
      </c>
      <c r="H3397" s="2" t="s">
        <v>36</v>
      </c>
      <c r="I3397" s="2" t="s">
        <v>8070</v>
      </c>
      <c r="J3397" s="3" t="str">
        <f>HYPERLINK("https://www.boe.es/gazeta/dias/1818/02/12/pdfs/GMD-1818-19.pdf#page=7","Abrir facsímil")</f>
        <v>Abrir facsímil</v>
      </c>
      <c r="K3397" s="3" t="s">
        <v>38</v>
      </c>
    </row>
    <row r="3398" spans="1:11" ht="42" customHeight="1">
      <c r="A3398" s="2" t="s">
        <v>8071</v>
      </c>
      <c r="B3398" s="2" t="s">
        <v>8072</v>
      </c>
      <c r="C3398" s="2" t="s">
        <v>17</v>
      </c>
      <c r="D3398" s="2" t="s">
        <v>18</v>
      </c>
      <c r="E3398" s="5">
        <v>-29906</v>
      </c>
      <c r="F3398" s="3" t="s">
        <v>28</v>
      </c>
      <c r="G3398" s="3" t="s">
        <v>20</v>
      </c>
      <c r="H3398" s="2" t="s">
        <v>36</v>
      </c>
      <c r="I3398" s="2" t="s">
        <v>8073</v>
      </c>
      <c r="J3398" s="3" t="str">
        <f>HYPERLINK("https://www.boe.es/gazeta/dias/1818/02/12/pdfs/GMD-1818-19.pdf#page=7","Abrir facsímil")</f>
        <v>Abrir facsímil</v>
      </c>
      <c r="K3398" s="3" t="s">
        <v>38</v>
      </c>
    </row>
    <row r="3399" spans="1:11" ht="42" customHeight="1">
      <c r="A3399" s="2" t="s">
        <v>8074</v>
      </c>
      <c r="B3399" s="2" t="s">
        <v>8075</v>
      </c>
      <c r="C3399" s="2" t="s">
        <v>63</v>
      </c>
      <c r="D3399" s="2" t="s">
        <v>18</v>
      </c>
      <c r="E3399" s="5">
        <v>-29761</v>
      </c>
      <c r="F3399" s="3" t="s">
        <v>168</v>
      </c>
      <c r="G3399" s="3" t="s">
        <v>1238</v>
      </c>
      <c r="H3399" s="2" t="s">
        <v>36</v>
      </c>
      <c r="I3399" s="2" t="s">
        <v>8076</v>
      </c>
      <c r="J3399" s="3" t="str">
        <f>HYPERLINK("https://www.boe.es/gazeta/dias/1818/07/07/pdfs/GMD-1818-81.pdf#page=8","Abrir facsímil")</f>
        <v>Abrir facsímil</v>
      </c>
      <c r="K3399" s="3" t="s">
        <v>38</v>
      </c>
    </row>
    <row r="3400" spans="1:11" ht="42" customHeight="1">
      <c r="A3400" s="2" t="s">
        <v>8077</v>
      </c>
      <c r="B3400" s="2" t="s">
        <v>8078</v>
      </c>
      <c r="C3400" s="2" t="s">
        <v>17</v>
      </c>
      <c r="D3400" s="2" t="s">
        <v>18</v>
      </c>
      <c r="E3400" s="5">
        <v>-29757</v>
      </c>
      <c r="F3400" s="3" t="s">
        <v>115</v>
      </c>
      <c r="G3400" s="3" t="s">
        <v>85</v>
      </c>
      <c r="H3400" s="2" t="s">
        <v>36</v>
      </c>
      <c r="I3400" s="2" t="s">
        <v>8079</v>
      </c>
      <c r="J3400" s="3" t="str">
        <f>HYPERLINK("https://www.boe.es/gazeta/dias/1818/07/11/pdfs/GMD-1818-83.pdf#page=3","Abrir facsímil")</f>
        <v>Abrir facsímil</v>
      </c>
      <c r="K3400" s="3" t="s">
        <v>38</v>
      </c>
    </row>
    <row r="3401" spans="1:11" ht="42" customHeight="1">
      <c r="A3401" s="2" t="s">
        <v>8080</v>
      </c>
      <c r="B3401" s="2" t="s">
        <v>8081</v>
      </c>
      <c r="C3401" s="2" t="s">
        <v>26</v>
      </c>
      <c r="D3401" s="2" t="s">
        <v>27</v>
      </c>
      <c r="E3401" s="5">
        <v>-29897</v>
      </c>
      <c r="F3401" s="3" t="s">
        <v>318</v>
      </c>
      <c r="G3401" s="3" t="s">
        <v>29</v>
      </c>
      <c r="H3401" s="2" t="s">
        <v>36</v>
      </c>
      <c r="I3401" s="2" t="s">
        <v>8082</v>
      </c>
      <c r="J3401" s="3" t="str">
        <f>HYPERLINK("https://www.boe.es/gazeta/dias/1818/02/21/pdfs/GMD-1818-23.pdf#page=4","Abrir facsímil")</f>
        <v>Abrir facsímil</v>
      </c>
      <c r="K3401" s="3" t="s">
        <v>38</v>
      </c>
    </row>
    <row r="3402" spans="1:11" ht="42" customHeight="1">
      <c r="A3402" s="2" t="s">
        <v>8083</v>
      </c>
      <c r="B3402" s="2" t="s">
        <v>8084</v>
      </c>
      <c r="C3402" s="2" t="s">
        <v>26</v>
      </c>
      <c r="D3402" s="2" t="s">
        <v>27</v>
      </c>
      <c r="E3402" s="5">
        <v>-29915</v>
      </c>
      <c r="F3402" s="3" t="s">
        <v>429</v>
      </c>
      <c r="G3402" s="3" t="s">
        <v>1142</v>
      </c>
      <c r="H3402" s="2" t="s">
        <v>36</v>
      </c>
      <c r="I3402" s="2" t="s">
        <v>8085</v>
      </c>
      <c r="J3402" s="3" t="str">
        <f>HYPERLINK("https://www.boe.es/gazeta/dias/1818/02/03/pdfs/GMD-1818-15.pdf#page=6","Abrir facsímil")</f>
        <v>Abrir facsímil</v>
      </c>
      <c r="K3402" s="3" t="s">
        <v>38</v>
      </c>
    </row>
    <row r="3403" spans="1:11" ht="42" customHeight="1">
      <c r="A3403" s="2" t="s">
        <v>8086</v>
      </c>
      <c r="B3403" s="2" t="s">
        <v>8087</v>
      </c>
      <c r="C3403" s="2" t="s">
        <v>26</v>
      </c>
      <c r="D3403" s="2" t="s">
        <v>27</v>
      </c>
      <c r="E3403" s="5">
        <v>-29682</v>
      </c>
      <c r="F3403" s="3" t="s">
        <v>170</v>
      </c>
      <c r="G3403" s="3" t="s">
        <v>45</v>
      </c>
      <c r="H3403" s="2" t="s">
        <v>36</v>
      </c>
      <c r="I3403" s="2" t="s">
        <v>8088</v>
      </c>
      <c r="J3403" s="3" t="str">
        <f>HYPERLINK("https://www.boe.es/gazeta/dias/1818/09/24/pdfs/GMD-1818-115.pdf#page=8","Abrir facsímil")</f>
        <v>Abrir facsímil</v>
      </c>
      <c r="K3403" s="3" t="s">
        <v>38</v>
      </c>
    </row>
    <row r="3404" spans="1:11" ht="42" customHeight="1">
      <c r="A3404" s="2" t="s">
        <v>8089</v>
      </c>
      <c r="B3404" s="2" t="s">
        <v>8090</v>
      </c>
      <c r="C3404" s="2" t="s">
        <v>68</v>
      </c>
      <c r="D3404" s="2" t="s">
        <v>69</v>
      </c>
      <c r="E3404" s="5">
        <v>-29789</v>
      </c>
      <c r="F3404" s="3" t="s">
        <v>937</v>
      </c>
      <c r="G3404" s="3" t="s">
        <v>45</v>
      </c>
      <c r="H3404" s="2" t="s">
        <v>36</v>
      </c>
      <c r="I3404" s="2" t="s">
        <v>8091</v>
      </c>
      <c r="J3404" s="3" t="str">
        <f>HYPERLINK("https://www.boe.es/gazeta/dias/1818/06/09/pdfs/GMD-1818-69.pdf#page=8","Abrir facsímil")</f>
        <v>Abrir facsímil</v>
      </c>
      <c r="K3404" s="3" t="s">
        <v>38</v>
      </c>
    </row>
    <row r="3405" spans="1:11" ht="42" customHeight="1">
      <c r="A3405" s="2" t="s">
        <v>8089</v>
      </c>
      <c r="B3405" s="2" t="s">
        <v>8090</v>
      </c>
      <c r="C3405" s="2" t="s">
        <v>33</v>
      </c>
      <c r="D3405" s="2" t="s">
        <v>18</v>
      </c>
      <c r="E3405" s="5">
        <v>-29731</v>
      </c>
      <c r="F3405" s="3" t="s">
        <v>299</v>
      </c>
      <c r="G3405" s="3" t="s">
        <v>45</v>
      </c>
      <c r="H3405" s="2" t="s">
        <v>36</v>
      </c>
      <c r="I3405" s="2" t="s">
        <v>8092</v>
      </c>
      <c r="J3405" s="3" t="str">
        <f>HYPERLINK("https://www.boe.es/gazeta/dias/1818/08/06/pdfs/GMD-1818-94.pdf#page=8","Abrir facsímil")</f>
        <v>Abrir facsímil</v>
      </c>
      <c r="K3405" s="3" t="s">
        <v>38</v>
      </c>
    </row>
    <row r="3406" spans="1:11" ht="42" customHeight="1">
      <c r="A3406" s="2" t="s">
        <v>8093</v>
      </c>
      <c r="B3406" s="2" t="s">
        <v>8094</v>
      </c>
      <c r="C3406" s="2" t="s">
        <v>26</v>
      </c>
      <c r="D3406" s="2" t="s">
        <v>27</v>
      </c>
      <c r="E3406" s="5">
        <v>-29925</v>
      </c>
      <c r="F3406" s="3" t="s">
        <v>447</v>
      </c>
      <c r="G3406" s="3" t="s">
        <v>8095</v>
      </c>
      <c r="H3406" s="2" t="s">
        <v>21</v>
      </c>
      <c r="I3406" s="2" t="s">
        <v>8096</v>
      </c>
      <c r="J3406" s="3" t="str">
        <f>HYPERLINK("https://www.boe.es/gazeta/dias/1818/01/24/pdfs/GMD-1818-11.pdf#page=4","Abrir facsímil")</f>
        <v>Abrir facsímil</v>
      </c>
      <c r="K3406" s="3" t="s">
        <v>23</v>
      </c>
    </row>
    <row r="3407" spans="1:11" ht="42" customHeight="1">
      <c r="A3407" s="2" t="s">
        <v>8097</v>
      </c>
      <c r="B3407" s="2" t="s">
        <v>8098</v>
      </c>
      <c r="C3407" s="2" t="s">
        <v>26</v>
      </c>
      <c r="D3407" s="2" t="s">
        <v>27</v>
      </c>
      <c r="E3407" s="5">
        <v>-29897</v>
      </c>
      <c r="F3407" s="3" t="s">
        <v>318</v>
      </c>
      <c r="G3407" s="3" t="s">
        <v>106</v>
      </c>
      <c r="H3407" s="2" t="s">
        <v>36</v>
      </c>
      <c r="I3407" s="2" t="s">
        <v>8099</v>
      </c>
      <c r="J3407" s="3" t="str">
        <f>HYPERLINK("https://www.boe.es/gazeta/dias/1818/02/21/pdfs/GMD-1818-23.pdf#page=5","Abrir facsímil")</f>
        <v>Abrir facsímil</v>
      </c>
      <c r="K3407" s="3" t="s">
        <v>38</v>
      </c>
    </row>
    <row r="3408" spans="1:11" ht="42" customHeight="1">
      <c r="A3408" s="2" t="s">
        <v>8100</v>
      </c>
      <c r="B3408" s="2" t="s">
        <v>8100</v>
      </c>
      <c r="C3408" s="2" t="s">
        <v>97</v>
      </c>
      <c r="D3408" s="2" t="s">
        <v>18</v>
      </c>
      <c r="E3408" s="5">
        <v>-29887</v>
      </c>
      <c r="F3408" s="3" t="s">
        <v>613</v>
      </c>
      <c r="G3408" s="3" t="s">
        <v>120</v>
      </c>
      <c r="H3408" s="2" t="s">
        <v>36</v>
      </c>
      <c r="I3408" s="2" t="s">
        <v>8101</v>
      </c>
      <c r="J3408" s="3" t="str">
        <f>HYPERLINK("https://www.boe.es/gazeta/dias/1818/03/03/pdfs/GMD-1818-27.pdf#page=2","Abrir facsímil")</f>
        <v>Abrir facsímil</v>
      </c>
      <c r="K3408" s="3" t="s">
        <v>38</v>
      </c>
    </row>
    <row r="3409" spans="1:11" ht="42" customHeight="1">
      <c r="A3409" s="2" t="s">
        <v>8102</v>
      </c>
      <c r="B3409" s="2" t="s">
        <v>8103</v>
      </c>
      <c r="C3409" s="2" t="s">
        <v>26</v>
      </c>
      <c r="D3409" s="2" t="s">
        <v>27</v>
      </c>
      <c r="E3409" s="5">
        <v>-29656</v>
      </c>
      <c r="F3409" s="3" t="s">
        <v>601</v>
      </c>
      <c r="G3409" s="3" t="s">
        <v>85</v>
      </c>
      <c r="H3409" s="2" t="s">
        <v>36</v>
      </c>
      <c r="I3409" s="2" t="s">
        <v>8104</v>
      </c>
      <c r="J3409" s="3" t="str">
        <f>HYPERLINK("https://www.boe.es/gazeta/dias/1818/10/20/pdfs/GMD-1818-127.pdf#page=3","Abrir facsímil")</f>
        <v>Abrir facsímil</v>
      </c>
      <c r="K3409" s="3" t="s">
        <v>38</v>
      </c>
    </row>
    <row r="3410" spans="1:11" ht="42" customHeight="1">
      <c r="A3410" s="2" t="s">
        <v>8105</v>
      </c>
      <c r="B3410" s="2" t="s">
        <v>8106</v>
      </c>
      <c r="C3410" s="2" t="s">
        <v>17</v>
      </c>
      <c r="D3410" s="2" t="s">
        <v>18</v>
      </c>
      <c r="E3410" s="5">
        <v>-29698</v>
      </c>
      <c r="F3410" s="3" t="s">
        <v>148</v>
      </c>
      <c r="G3410" s="3" t="s">
        <v>29</v>
      </c>
      <c r="H3410" s="2" t="s">
        <v>36</v>
      </c>
      <c r="I3410" s="2" t="s">
        <v>8107</v>
      </c>
      <c r="J3410" s="3" t="str">
        <f>HYPERLINK("https://www.boe.es/gazeta/dias/1818/09/08/pdfs/GMD-1818-108.pdf#page=4","Abrir facsímil")</f>
        <v>Abrir facsímil</v>
      </c>
      <c r="K3410" s="3" t="s">
        <v>38</v>
      </c>
    </row>
    <row r="3411" spans="1:11" ht="42" customHeight="1">
      <c r="A3411" s="2" t="s">
        <v>8108</v>
      </c>
      <c r="B3411" s="2" t="s">
        <v>8109</v>
      </c>
      <c r="C3411" s="2" t="s">
        <v>26</v>
      </c>
      <c r="D3411" s="2" t="s">
        <v>27</v>
      </c>
      <c r="E3411" s="5">
        <v>-29642</v>
      </c>
      <c r="F3411" s="3" t="s">
        <v>248</v>
      </c>
      <c r="G3411" s="3" t="s">
        <v>249</v>
      </c>
      <c r="H3411" s="2" t="s">
        <v>21</v>
      </c>
      <c r="I3411" s="2" t="s">
        <v>8110</v>
      </c>
      <c r="J3411" s="3" t="str">
        <f>HYPERLINK("https://www.boe.es/gazeta/dias/1818/11/03/pdfs/GMD-1818-133.pdf#page=8","Abrir facsímil")</f>
        <v>Abrir facsímil</v>
      </c>
      <c r="K3411" s="3" t="s">
        <v>23</v>
      </c>
    </row>
    <row r="3412" spans="1:11" ht="42" customHeight="1">
      <c r="A3412" s="2" t="s">
        <v>8111</v>
      </c>
      <c r="B3412" s="2" t="s">
        <v>8112</v>
      </c>
      <c r="C3412" s="2" t="s">
        <v>26</v>
      </c>
      <c r="D3412" s="2" t="s">
        <v>27</v>
      </c>
      <c r="E3412" s="5">
        <v>-29680</v>
      </c>
      <c r="F3412" s="3" t="s">
        <v>865</v>
      </c>
      <c r="G3412" s="3" t="s">
        <v>59</v>
      </c>
      <c r="H3412" s="2" t="s">
        <v>36</v>
      </c>
      <c r="I3412" s="2" t="s">
        <v>8113</v>
      </c>
      <c r="J3412" s="3" t="str">
        <f>HYPERLINK("https://www.boe.es/gazeta/dias/1818/09/26/pdfs/GMD-1818-116.pdf#page=6","Abrir facsímil")</f>
        <v>Abrir facsímil</v>
      </c>
      <c r="K3412" s="3" t="s">
        <v>38</v>
      </c>
    </row>
    <row r="3413" spans="1:11" ht="42" customHeight="1">
      <c r="A3413" s="2" t="s">
        <v>8114</v>
      </c>
      <c r="B3413" s="2" t="s">
        <v>8115</v>
      </c>
      <c r="C3413" s="2" t="s">
        <v>17</v>
      </c>
      <c r="D3413" s="2" t="s">
        <v>18</v>
      </c>
      <c r="E3413" s="5">
        <v>-29635</v>
      </c>
      <c r="F3413" s="3" t="s">
        <v>560</v>
      </c>
      <c r="G3413" s="3" t="s">
        <v>20</v>
      </c>
      <c r="H3413" s="2" t="s">
        <v>36</v>
      </c>
      <c r="I3413" s="2" t="s">
        <v>8116</v>
      </c>
      <c r="J3413" s="3" t="str">
        <f>HYPERLINK("https://www.boe.es/gazeta/dias/1818/11/10/pdfs/GMD-1818-136.pdf#page=7","Abrir facsímil")</f>
        <v>Abrir facsímil</v>
      </c>
      <c r="K3413" s="3" t="s">
        <v>38</v>
      </c>
    </row>
    <row r="3414" spans="1:11" ht="42" customHeight="1">
      <c r="A3414" s="2" t="s">
        <v>8117</v>
      </c>
      <c r="B3414" s="2" t="s">
        <v>8118</v>
      </c>
      <c r="C3414" s="2" t="s">
        <v>17</v>
      </c>
      <c r="D3414" s="2" t="s">
        <v>18</v>
      </c>
      <c r="E3414" s="5">
        <v>-29680</v>
      </c>
      <c r="F3414" s="3" t="s">
        <v>865</v>
      </c>
      <c r="G3414" s="3" t="s">
        <v>20</v>
      </c>
      <c r="H3414" s="2" t="s">
        <v>36</v>
      </c>
      <c r="I3414" s="2" t="s">
        <v>8119</v>
      </c>
      <c r="J3414" s="3" t="str">
        <f>HYPERLINK("https://www.boe.es/gazeta/dias/1818/09/26/pdfs/GMD-1818-116.pdf#page=7","Abrir facsímil")</f>
        <v>Abrir facsímil</v>
      </c>
      <c r="K3414" s="3" t="s">
        <v>38</v>
      </c>
    </row>
    <row r="3415" spans="1:11" ht="42" customHeight="1">
      <c r="A3415" s="2" t="s">
        <v>8120</v>
      </c>
      <c r="B3415" s="2" t="s">
        <v>8121</v>
      </c>
      <c r="C3415" s="2" t="s">
        <v>17</v>
      </c>
      <c r="D3415" s="2" t="s">
        <v>18</v>
      </c>
      <c r="E3415" s="5">
        <v>-29698</v>
      </c>
      <c r="F3415" s="3" t="s">
        <v>148</v>
      </c>
      <c r="G3415" s="3" t="s">
        <v>20</v>
      </c>
      <c r="H3415" s="2" t="s">
        <v>36</v>
      </c>
      <c r="I3415" s="2" t="s">
        <v>8122</v>
      </c>
      <c r="J3415" s="3" t="str">
        <f>HYPERLINK("https://www.boe.es/gazeta/dias/1818/09/08/pdfs/GMD-1818-108.pdf#page=7","Abrir facsímil")</f>
        <v>Abrir facsímil</v>
      </c>
      <c r="K3415" s="3" t="s">
        <v>38</v>
      </c>
    </row>
    <row r="3416" spans="1:11" ht="42" customHeight="1">
      <c r="A3416" s="2" t="s">
        <v>8123</v>
      </c>
      <c r="B3416" s="2" t="s">
        <v>8124</v>
      </c>
      <c r="C3416" s="2" t="s">
        <v>33</v>
      </c>
      <c r="D3416" s="2" t="s">
        <v>18</v>
      </c>
      <c r="E3416" s="5">
        <v>-29698</v>
      </c>
      <c r="F3416" s="3" t="s">
        <v>148</v>
      </c>
      <c r="G3416" s="3" t="s">
        <v>29</v>
      </c>
      <c r="H3416" s="2" t="s">
        <v>36</v>
      </c>
      <c r="I3416" s="2" t="s">
        <v>8125</v>
      </c>
      <c r="J3416" s="3" t="str">
        <f>HYPERLINK("https://www.boe.es/gazeta/dias/1818/09/08/pdfs/GMD-1818-108.pdf#page=4","Abrir facsímil")</f>
        <v>Abrir facsímil</v>
      </c>
      <c r="K3416" s="3" t="s">
        <v>38</v>
      </c>
    </row>
    <row r="3417" spans="1:11" ht="42" customHeight="1">
      <c r="A3417" s="2" t="s">
        <v>8126</v>
      </c>
      <c r="B3417" s="2" t="s">
        <v>8127</v>
      </c>
      <c r="C3417" s="2" t="s">
        <v>68</v>
      </c>
      <c r="D3417" s="2" t="s">
        <v>69</v>
      </c>
      <c r="E3417" s="5">
        <v>-29796</v>
      </c>
      <c r="F3417" s="3" t="s">
        <v>1359</v>
      </c>
      <c r="G3417" s="3" t="s">
        <v>49</v>
      </c>
      <c r="H3417" s="2" t="s">
        <v>36</v>
      </c>
      <c r="I3417" s="2" t="s">
        <v>8128</v>
      </c>
      <c r="J3417" s="3" t="str">
        <f>HYPERLINK("https://www.boe.es/gazeta/dias/1818/06/02/pdfs/GMD-1818-66.pdf#page=1","Abrir facsímil")</f>
        <v>Abrir facsímil</v>
      </c>
      <c r="K3417" s="3" t="s">
        <v>38</v>
      </c>
    </row>
    <row r="3418" spans="1:11" ht="42" customHeight="1">
      <c r="A3418" s="2" t="s">
        <v>8129</v>
      </c>
      <c r="B3418" s="2" t="s">
        <v>8129</v>
      </c>
      <c r="C3418" s="2" t="s">
        <v>17</v>
      </c>
      <c r="D3418" s="2" t="s">
        <v>18</v>
      </c>
      <c r="E3418" s="5">
        <v>-29696</v>
      </c>
      <c r="F3418" s="3" t="s">
        <v>1716</v>
      </c>
      <c r="G3418" s="3" t="s">
        <v>49</v>
      </c>
      <c r="H3418" s="2" t="s">
        <v>36</v>
      </c>
      <c r="I3418" s="2" t="s">
        <v>8130</v>
      </c>
      <c r="J3418" s="3" t="str">
        <f>HYPERLINK("https://www.boe.es/gazeta/dias/1818/09/10/pdfs/GMD-1818-109.pdf#page=1","Abrir facsímil")</f>
        <v>Abrir facsímil</v>
      </c>
      <c r="K3418" s="3" t="s">
        <v>38</v>
      </c>
    </row>
    <row r="3419" spans="1:11" ht="42" customHeight="1">
      <c r="A3419" s="2" t="s">
        <v>8131</v>
      </c>
      <c r="B3419" s="2" t="s">
        <v>8132</v>
      </c>
      <c r="C3419" s="2" t="s">
        <v>26</v>
      </c>
      <c r="D3419" s="2" t="s">
        <v>27</v>
      </c>
      <c r="E3419" s="5">
        <v>-29913</v>
      </c>
      <c r="F3419" s="3" t="s">
        <v>449</v>
      </c>
      <c r="G3419" s="3" t="s">
        <v>20</v>
      </c>
      <c r="H3419" s="2" t="s">
        <v>36</v>
      </c>
      <c r="I3419" s="2" t="s">
        <v>8133</v>
      </c>
      <c r="J3419" s="3" t="str">
        <f>HYPERLINK("https://www.boe.es/gazeta/dias/1818/02/05/pdfs/GMD-1818-16.pdf#page=7","Abrir facsímil")</f>
        <v>Abrir facsímil</v>
      </c>
      <c r="K3419" s="3" t="s">
        <v>38</v>
      </c>
    </row>
    <row r="3420" spans="1:11" ht="42" customHeight="1">
      <c r="A3420" s="2" t="s">
        <v>8134</v>
      </c>
      <c r="B3420" s="2" t="s">
        <v>8135</v>
      </c>
      <c r="C3420" s="2" t="s">
        <v>26</v>
      </c>
      <c r="D3420" s="2" t="s">
        <v>27</v>
      </c>
      <c r="E3420" s="5">
        <v>-29866</v>
      </c>
      <c r="F3420" s="3" t="s">
        <v>828</v>
      </c>
      <c r="G3420" s="3" t="s">
        <v>85</v>
      </c>
      <c r="H3420" s="2" t="s">
        <v>36</v>
      </c>
      <c r="I3420" s="2" t="s">
        <v>8136</v>
      </c>
      <c r="J3420" s="3" t="str">
        <f>HYPERLINK("https://www.boe.es/gazeta/dias/1818/03/24/pdfs/GMD-1818-36.pdf#page=3","Abrir facsímil")</f>
        <v>Abrir facsímil</v>
      </c>
      <c r="K3420" s="3" t="s">
        <v>38</v>
      </c>
    </row>
    <row r="3421" spans="1:11" ht="42" customHeight="1">
      <c r="A3421" s="2" t="s">
        <v>8137</v>
      </c>
      <c r="B3421" s="2" t="s">
        <v>8137</v>
      </c>
      <c r="C3421" s="2" t="s">
        <v>26</v>
      </c>
      <c r="D3421" s="2" t="s">
        <v>27</v>
      </c>
      <c r="E3421" s="5">
        <v>-29652</v>
      </c>
      <c r="F3421" s="3" t="s">
        <v>741</v>
      </c>
      <c r="G3421" s="3" t="s">
        <v>120</v>
      </c>
      <c r="H3421" s="2" t="s">
        <v>36</v>
      </c>
      <c r="I3421" s="2" t="s">
        <v>8138</v>
      </c>
      <c r="J3421" s="3" t="str">
        <f>HYPERLINK("https://www.boe.es/gazeta/dias/1818/10/24/pdfs/GMD-1818-129.pdf#page=2","Abrir facsímil")</f>
        <v>Abrir facsímil</v>
      </c>
      <c r="K3421" s="3" t="s">
        <v>38</v>
      </c>
    </row>
    <row r="3422" spans="1:11" ht="42" customHeight="1">
      <c r="A3422" s="2" t="s">
        <v>8139</v>
      </c>
      <c r="B3422" s="2" t="s">
        <v>8140</v>
      </c>
      <c r="C3422" s="2" t="s">
        <v>68</v>
      </c>
      <c r="D3422" s="2" t="s">
        <v>69</v>
      </c>
      <c r="E3422" s="5">
        <v>-29894</v>
      </c>
      <c r="F3422" s="3" t="s">
        <v>820</v>
      </c>
      <c r="G3422" s="3" t="s">
        <v>59</v>
      </c>
      <c r="H3422" s="2" t="s">
        <v>21</v>
      </c>
      <c r="I3422" s="2" t="s">
        <v>8141</v>
      </c>
      <c r="J3422" s="3" t="str">
        <f>HYPERLINK("https://www.boe.es/gazeta/dias/1818/02/24/pdfs/GMD-1818-24.pdf#page=6","Abrir facsímil")</f>
        <v>Abrir facsímil</v>
      </c>
      <c r="K3422" s="3" t="s">
        <v>23</v>
      </c>
    </row>
    <row r="3423" spans="1:11" ht="42" customHeight="1">
      <c r="A3423" s="2" t="s">
        <v>8142</v>
      </c>
      <c r="B3423" s="2" t="s">
        <v>8143</v>
      </c>
      <c r="C3423" s="2" t="s">
        <v>68</v>
      </c>
      <c r="D3423" s="2" t="s">
        <v>69</v>
      </c>
      <c r="E3423" s="5">
        <v>-29936</v>
      </c>
      <c r="F3423" s="3" t="s">
        <v>398</v>
      </c>
      <c r="G3423" s="3" t="s">
        <v>45</v>
      </c>
      <c r="H3423" s="2" t="s">
        <v>36</v>
      </c>
      <c r="I3423" s="2" t="s">
        <v>8144</v>
      </c>
      <c r="J3423" s="3" t="str">
        <f>HYPERLINK("https://www.boe.es/gazeta/dias/1818/01/13/pdfs/GMD-1818-6.pdf#page=8","Abrir facsímil")</f>
        <v>Abrir facsímil</v>
      </c>
      <c r="K3423" s="3" t="s">
        <v>38</v>
      </c>
    </row>
    <row r="3424" spans="1:11" ht="42" customHeight="1">
      <c r="A3424" s="2" t="s">
        <v>8142</v>
      </c>
      <c r="B3424" s="2" t="s">
        <v>8143</v>
      </c>
      <c r="C3424" s="2" t="s">
        <v>26</v>
      </c>
      <c r="D3424" s="2" t="s">
        <v>27</v>
      </c>
      <c r="E3424" s="5">
        <v>-29918</v>
      </c>
      <c r="F3424" s="3" t="s">
        <v>89</v>
      </c>
      <c r="G3424" s="3" t="s">
        <v>116</v>
      </c>
      <c r="H3424" s="2" t="s">
        <v>36</v>
      </c>
      <c r="I3424" s="2" t="s">
        <v>8145</v>
      </c>
      <c r="J3424" s="3" t="str">
        <f>HYPERLINK("https://www.boe.es/gazeta/dias/1818/01/31/pdfs/GMD-1818-14.pdf#page=12","Abrir facsímil")</f>
        <v>Abrir facsímil</v>
      </c>
      <c r="K3424" s="3" t="s">
        <v>38</v>
      </c>
    </row>
    <row r="3425" spans="1:11" ht="42" customHeight="1">
      <c r="A3425" s="2" t="s">
        <v>8142</v>
      </c>
      <c r="B3425" s="2" t="s">
        <v>8143</v>
      </c>
      <c r="C3425" s="2" t="s">
        <v>26</v>
      </c>
      <c r="D3425" s="2" t="s">
        <v>27</v>
      </c>
      <c r="E3425" s="5">
        <v>-29906</v>
      </c>
      <c r="F3425" s="3" t="s">
        <v>28</v>
      </c>
      <c r="G3425" s="3" t="s">
        <v>45</v>
      </c>
      <c r="H3425" s="2" t="s">
        <v>36</v>
      </c>
      <c r="I3425" s="2" t="s">
        <v>8146</v>
      </c>
      <c r="J3425" s="3" t="str">
        <f>HYPERLINK("https://www.boe.es/gazeta/dias/1818/02/12/pdfs/GMD-1818-19.pdf#page=8","Abrir facsímil")</f>
        <v>Abrir facsímil</v>
      </c>
      <c r="K3425" s="3" t="s">
        <v>38</v>
      </c>
    </row>
    <row r="3426" spans="1:11" ht="42" customHeight="1">
      <c r="A3426" s="2" t="s">
        <v>8142</v>
      </c>
      <c r="B3426" s="2" t="s">
        <v>8143</v>
      </c>
      <c r="C3426" s="2" t="s">
        <v>68</v>
      </c>
      <c r="D3426" s="2" t="s">
        <v>69</v>
      </c>
      <c r="E3426" s="5">
        <v>-29761</v>
      </c>
      <c r="F3426" s="3" t="s">
        <v>168</v>
      </c>
      <c r="G3426" s="3" t="s">
        <v>1238</v>
      </c>
      <c r="H3426" s="2" t="s">
        <v>36</v>
      </c>
      <c r="I3426" s="2" t="s">
        <v>8147</v>
      </c>
      <c r="J3426" s="3" t="str">
        <f>HYPERLINK("https://www.boe.es/gazeta/dias/1818/07/07/pdfs/GMD-1818-81.pdf#page=8","Abrir facsímil")</f>
        <v>Abrir facsímil</v>
      </c>
      <c r="K3426" s="3" t="s">
        <v>38</v>
      </c>
    </row>
    <row r="3427" spans="1:11" ht="42" customHeight="1">
      <c r="A3427" s="2" t="s">
        <v>8148</v>
      </c>
      <c r="B3427" s="2" t="s">
        <v>8148</v>
      </c>
      <c r="C3427" s="2" t="s">
        <v>68</v>
      </c>
      <c r="D3427" s="2" t="s">
        <v>69</v>
      </c>
      <c r="E3427" s="5">
        <v>-29848</v>
      </c>
      <c r="F3427" s="3" t="s">
        <v>571</v>
      </c>
      <c r="G3427" s="3" t="s">
        <v>20</v>
      </c>
      <c r="H3427" s="2" t="s">
        <v>36</v>
      </c>
      <c r="I3427" s="2" t="s">
        <v>8149</v>
      </c>
      <c r="J3427" s="3" t="str">
        <f>HYPERLINK("https://www.boe.es/gazeta/dias/1818/04/11/pdfs/GMD-1818-44.pdf#page=7","Abrir facsímil")</f>
        <v>Abrir facsímil</v>
      </c>
      <c r="K3427" s="3" t="s">
        <v>38</v>
      </c>
    </row>
    <row r="3428" spans="1:11" ht="42" customHeight="1">
      <c r="A3428" s="2" t="s">
        <v>8150</v>
      </c>
      <c r="B3428" s="2" t="s">
        <v>8151</v>
      </c>
      <c r="C3428" s="2" t="s">
        <v>17</v>
      </c>
      <c r="D3428" s="2" t="s">
        <v>18</v>
      </c>
      <c r="E3428" s="5">
        <v>-29932</v>
      </c>
      <c r="F3428" s="3" t="s">
        <v>34</v>
      </c>
      <c r="G3428" s="3" t="s">
        <v>35</v>
      </c>
      <c r="H3428" s="2" t="s">
        <v>36</v>
      </c>
      <c r="I3428" s="2" t="s">
        <v>8152</v>
      </c>
      <c r="J3428" s="3" t="str">
        <f>HYPERLINK("https://www.boe.es/gazeta/dias/1818/01/17/pdfs/GMD-1818-8.pdf#page=8","Abrir facsímil")</f>
        <v>Abrir facsímil</v>
      </c>
      <c r="K3428" s="3" t="s">
        <v>38</v>
      </c>
    </row>
    <row r="3429" spans="1:11" ht="42" customHeight="1">
      <c r="A3429" s="2" t="s">
        <v>8153</v>
      </c>
      <c r="B3429" s="2" t="s">
        <v>8154</v>
      </c>
      <c r="C3429" s="2" t="s">
        <v>68</v>
      </c>
      <c r="D3429" s="2" t="s">
        <v>69</v>
      </c>
      <c r="E3429" s="5">
        <v>-29822</v>
      </c>
      <c r="F3429" s="3" t="s">
        <v>373</v>
      </c>
      <c r="G3429" s="3" t="s">
        <v>45</v>
      </c>
      <c r="H3429" s="2" t="s">
        <v>21</v>
      </c>
      <c r="I3429" s="2" t="s">
        <v>8155</v>
      </c>
      <c r="J3429" s="3" t="str">
        <f>HYPERLINK("https://www.boe.es/gazeta/dias/1818/05/07/pdfs/GMD-1818-55.pdf#page=8","Abrir facsímil")</f>
        <v>Abrir facsímil</v>
      </c>
      <c r="K3429" s="3" t="s">
        <v>23</v>
      </c>
    </row>
    <row r="3430" spans="1:11" ht="42" customHeight="1">
      <c r="A3430" s="2" t="s">
        <v>8153</v>
      </c>
      <c r="B3430" s="2" t="s">
        <v>8154</v>
      </c>
      <c r="C3430" s="2" t="s">
        <v>215</v>
      </c>
      <c r="D3430" s="2" t="s">
        <v>18</v>
      </c>
      <c r="E3430" s="5">
        <v>-29766</v>
      </c>
      <c r="F3430" s="3" t="s">
        <v>276</v>
      </c>
      <c r="G3430" s="3" t="s">
        <v>45</v>
      </c>
      <c r="H3430" s="2" t="s">
        <v>21</v>
      </c>
      <c r="I3430" s="2" t="s">
        <v>8156</v>
      </c>
      <c r="J3430" s="3" t="str">
        <f>HYPERLINK("https://www.boe.es/gazeta/dias/1818/07/02/pdfs/GMD-1818-79.pdf#page=8","Abrir facsímil")</f>
        <v>Abrir facsímil</v>
      </c>
      <c r="K3430" s="3" t="s">
        <v>23</v>
      </c>
    </row>
    <row r="3431" spans="1:11" ht="42" customHeight="1">
      <c r="A3431" s="2" t="s">
        <v>8153</v>
      </c>
      <c r="B3431" s="2" t="s">
        <v>8154</v>
      </c>
      <c r="C3431" s="2" t="s">
        <v>68</v>
      </c>
      <c r="D3431" s="2" t="s">
        <v>69</v>
      </c>
      <c r="E3431" s="5">
        <v>-29724</v>
      </c>
      <c r="F3431" s="3" t="s">
        <v>370</v>
      </c>
      <c r="G3431" s="3" t="s">
        <v>3675</v>
      </c>
      <c r="H3431" s="2" t="s">
        <v>21</v>
      </c>
      <c r="I3431" s="2" t="s">
        <v>8157</v>
      </c>
      <c r="J3431" s="3" t="str">
        <f>HYPERLINK("https://www.boe.es/gazeta/dias/1818/08/13/pdfs/GMD-1818-97.pdf#page=8","Abrir facsímil")</f>
        <v>Abrir facsímil</v>
      </c>
      <c r="K3431" s="3" t="s">
        <v>23</v>
      </c>
    </row>
    <row r="3432" spans="1:11" ht="42" customHeight="1">
      <c r="A3432" s="2" t="s">
        <v>8158</v>
      </c>
      <c r="B3432" s="2" t="s">
        <v>8158</v>
      </c>
      <c r="C3432" s="2" t="s">
        <v>26</v>
      </c>
      <c r="D3432" s="2" t="s">
        <v>27</v>
      </c>
      <c r="E3432" s="5">
        <v>-29820</v>
      </c>
      <c r="F3432" s="3" t="s">
        <v>2971</v>
      </c>
      <c r="G3432" s="3" t="s">
        <v>120</v>
      </c>
      <c r="H3432" s="2" t="s">
        <v>36</v>
      </c>
      <c r="I3432" s="2" t="s">
        <v>8159</v>
      </c>
      <c r="J3432" s="3" t="str">
        <f>HYPERLINK("https://www.boe.es/gazeta/dias/1818/05/09/pdfs/GMD-1818-56.pdf#page=2","Abrir facsímil")</f>
        <v>Abrir facsímil</v>
      </c>
      <c r="K3432" s="3" t="s">
        <v>38</v>
      </c>
    </row>
    <row r="3433" spans="1:11" ht="42" customHeight="1">
      <c r="A3433" s="2" t="s">
        <v>8160</v>
      </c>
      <c r="B3433" s="2" t="s">
        <v>8161</v>
      </c>
      <c r="C3433" s="2" t="s">
        <v>26</v>
      </c>
      <c r="D3433" s="2" t="s">
        <v>27</v>
      </c>
      <c r="E3433" s="5">
        <v>-29750</v>
      </c>
      <c r="F3433" s="3" t="s">
        <v>384</v>
      </c>
      <c r="G3433" s="3" t="s">
        <v>111</v>
      </c>
      <c r="H3433" s="2" t="s">
        <v>36</v>
      </c>
      <c r="I3433" s="2" t="s">
        <v>8162</v>
      </c>
      <c r="J3433" s="3" t="str">
        <f>HYPERLINK("https://www.boe.es/gazeta/dias/1818/07/18/pdfs/GMD-1818-86.pdf#page=11","Abrir facsímil")</f>
        <v>Abrir facsímil</v>
      </c>
      <c r="K3433" s="3" t="s">
        <v>38</v>
      </c>
    </row>
    <row r="3434" spans="1:11" ht="42" customHeight="1">
      <c r="A3434" s="2" t="s">
        <v>8160</v>
      </c>
      <c r="B3434" s="2" t="s">
        <v>8161</v>
      </c>
      <c r="C3434" s="2" t="s">
        <v>26</v>
      </c>
      <c r="D3434" s="2" t="s">
        <v>27</v>
      </c>
      <c r="E3434" s="5">
        <v>-29726</v>
      </c>
      <c r="F3434" s="3" t="s">
        <v>70</v>
      </c>
      <c r="G3434" s="3" t="s">
        <v>116</v>
      </c>
      <c r="H3434" s="2" t="s">
        <v>36</v>
      </c>
      <c r="I3434" s="2" t="s">
        <v>8163</v>
      </c>
      <c r="J3434" s="3" t="str">
        <f>HYPERLINK("https://www.boe.es/gazeta/dias/1818/08/11/pdfs/GMD-1818-96.pdf#page=12","Abrir facsímil")</f>
        <v>Abrir facsímil</v>
      </c>
      <c r="K3434" s="3" t="s">
        <v>38</v>
      </c>
    </row>
    <row r="3435" spans="1:11" ht="42" customHeight="1">
      <c r="A3435" s="2" t="s">
        <v>8164</v>
      </c>
      <c r="B3435" s="2" t="s">
        <v>8164</v>
      </c>
      <c r="C3435" s="2" t="s">
        <v>57</v>
      </c>
      <c r="D3435" s="2" t="s">
        <v>18</v>
      </c>
      <c r="E3435" s="5">
        <v>-29817</v>
      </c>
      <c r="F3435" s="3" t="s">
        <v>284</v>
      </c>
      <c r="G3435" s="3" t="s">
        <v>45</v>
      </c>
      <c r="H3435" s="2" t="s">
        <v>36</v>
      </c>
      <c r="I3435" s="2" t="s">
        <v>8165</v>
      </c>
      <c r="J3435" s="3" t="str">
        <f>HYPERLINK("https://www.boe.es/gazeta/dias/1818/05/12/pdfs/GMD-1818-57.pdf#page=8","Abrir facsímil")</f>
        <v>Abrir facsímil</v>
      </c>
      <c r="K3435" s="3" t="s">
        <v>38</v>
      </c>
    </row>
    <row r="3436" spans="1:11" ht="42" customHeight="1">
      <c r="A3436" s="2" t="s">
        <v>8166</v>
      </c>
      <c r="B3436" s="2" t="s">
        <v>8167</v>
      </c>
      <c r="C3436" s="2" t="s">
        <v>17</v>
      </c>
      <c r="D3436" s="2" t="s">
        <v>18</v>
      </c>
      <c r="E3436" s="5">
        <v>-29890</v>
      </c>
      <c r="F3436" s="3" t="s">
        <v>393</v>
      </c>
      <c r="G3436" s="3" t="s">
        <v>106</v>
      </c>
      <c r="H3436" s="2" t="s">
        <v>36</v>
      </c>
      <c r="I3436" s="2" t="s">
        <v>8168</v>
      </c>
      <c r="J3436" s="3" t="str">
        <f>HYPERLINK("https://www.boe.es/gazeta/dias/1818/02/28/pdfs/GMD-1818-26.pdf#page=5","Abrir facsímil")</f>
        <v>Abrir facsímil</v>
      </c>
      <c r="K3436" s="3" t="s">
        <v>38</v>
      </c>
    </row>
    <row r="3437" spans="1:11" ht="42" customHeight="1">
      <c r="A3437" s="2" t="s">
        <v>8169</v>
      </c>
      <c r="B3437" s="2" t="s">
        <v>8170</v>
      </c>
      <c r="C3437" s="2" t="s">
        <v>26</v>
      </c>
      <c r="D3437" s="2" t="s">
        <v>27</v>
      </c>
      <c r="E3437" s="5">
        <v>-29857</v>
      </c>
      <c r="F3437" s="3" t="s">
        <v>831</v>
      </c>
      <c r="G3437" s="3" t="s">
        <v>106</v>
      </c>
      <c r="H3437" s="2" t="s">
        <v>36</v>
      </c>
      <c r="I3437" s="2" t="s">
        <v>8171</v>
      </c>
      <c r="J3437" s="3" t="str">
        <f>HYPERLINK("https://www.boe.es/gazeta/dias/1818/04/02/pdfs/GMD-1818-40.pdf#page=5","Abrir facsímil")</f>
        <v>Abrir facsímil</v>
      </c>
      <c r="K3437" s="3" t="s">
        <v>38</v>
      </c>
    </row>
    <row r="3438" spans="1:11" ht="42" customHeight="1">
      <c r="A3438" s="2" t="s">
        <v>8172</v>
      </c>
      <c r="B3438" s="2" t="s">
        <v>8173</v>
      </c>
      <c r="C3438" s="2" t="s">
        <v>26</v>
      </c>
      <c r="D3438" s="2" t="s">
        <v>27</v>
      </c>
      <c r="E3438" s="5">
        <v>-29876</v>
      </c>
      <c r="F3438" s="3" t="s">
        <v>338</v>
      </c>
      <c r="G3438" s="3" t="s">
        <v>29</v>
      </c>
      <c r="H3438" s="2" t="s">
        <v>36</v>
      </c>
      <c r="I3438" s="2" t="s">
        <v>8174</v>
      </c>
      <c r="J3438" s="3" t="str">
        <f>HYPERLINK("https://www.boe.es/gazeta/dias/1818/03/14/pdfs/GMD-1818-32.pdf#page=4","Abrir facsímil")</f>
        <v>Abrir facsímil</v>
      </c>
      <c r="K3438" s="3" t="s">
        <v>38</v>
      </c>
    </row>
    <row r="3439" spans="1:11" ht="42" customHeight="1">
      <c r="A3439" s="2" t="s">
        <v>8175</v>
      </c>
      <c r="B3439" s="2" t="s">
        <v>8176</v>
      </c>
      <c r="C3439" s="2" t="s">
        <v>33</v>
      </c>
      <c r="D3439" s="2" t="s">
        <v>18</v>
      </c>
      <c r="E3439" s="5">
        <v>-29736</v>
      </c>
      <c r="F3439" s="3" t="s">
        <v>581</v>
      </c>
      <c r="G3439" s="3" t="s">
        <v>59</v>
      </c>
      <c r="H3439" s="2" t="s">
        <v>36</v>
      </c>
      <c r="I3439" s="2" t="s">
        <v>8177</v>
      </c>
      <c r="J3439" s="3" t="str">
        <f>HYPERLINK("https://www.boe.es/gazeta/dias/1818/08/01/pdfs/GMD-1818-92.pdf#page=6","Abrir facsímil")</f>
        <v>Abrir facsímil</v>
      </c>
      <c r="K3439" s="3" t="s">
        <v>38</v>
      </c>
    </row>
    <row r="3440" spans="1:11" ht="42" customHeight="1">
      <c r="A3440" s="2" t="s">
        <v>8178</v>
      </c>
      <c r="B3440" s="2" t="s">
        <v>8179</v>
      </c>
      <c r="C3440" s="2" t="s">
        <v>68</v>
      </c>
      <c r="D3440" s="2" t="s">
        <v>69</v>
      </c>
      <c r="E3440" s="5">
        <v>-29663</v>
      </c>
      <c r="F3440" s="3" t="s">
        <v>1011</v>
      </c>
      <c r="G3440" s="3" t="s">
        <v>59</v>
      </c>
      <c r="H3440" s="2" t="s">
        <v>36</v>
      </c>
      <c r="I3440" s="2" t="s">
        <v>8180</v>
      </c>
      <c r="J3440" s="3" t="str">
        <f>HYPERLINK("https://www.boe.es/gazeta/dias/1818/10/13/pdfs/GMD-1818-123.pdf#page=6","Abrir facsímil")</f>
        <v>Abrir facsímil</v>
      </c>
      <c r="K3440" s="3" t="s">
        <v>38</v>
      </c>
    </row>
    <row r="3441" spans="1:11" ht="42" customHeight="1">
      <c r="A3441" s="2" t="s">
        <v>8181</v>
      </c>
      <c r="B3441" s="2" t="s">
        <v>8182</v>
      </c>
      <c r="C3441" s="2" t="s">
        <v>68</v>
      </c>
      <c r="D3441" s="2" t="s">
        <v>69</v>
      </c>
      <c r="E3441" s="5">
        <v>-29932</v>
      </c>
      <c r="F3441" s="3" t="s">
        <v>34</v>
      </c>
      <c r="G3441" s="3" t="s">
        <v>59</v>
      </c>
      <c r="H3441" s="2" t="s">
        <v>36</v>
      </c>
      <c r="I3441" s="2" t="s">
        <v>8183</v>
      </c>
      <c r="J3441" s="3" t="str">
        <f>HYPERLINK("https://www.boe.es/gazeta/dias/1818/01/17/pdfs/GMD-1818-8.pdf#page=6","Abrir facsímil")</f>
        <v>Abrir facsímil</v>
      </c>
      <c r="K3441" s="3" t="s">
        <v>38</v>
      </c>
    </row>
    <row r="3442" spans="1:11" ht="42" customHeight="1">
      <c r="A3442" s="2" t="s">
        <v>8184</v>
      </c>
      <c r="B3442" s="2" t="s">
        <v>8185</v>
      </c>
      <c r="C3442" s="2" t="s">
        <v>26</v>
      </c>
      <c r="D3442" s="2" t="s">
        <v>27</v>
      </c>
      <c r="E3442" s="5">
        <v>-29913</v>
      </c>
      <c r="F3442" s="3" t="s">
        <v>449</v>
      </c>
      <c r="G3442" s="3" t="s">
        <v>45</v>
      </c>
      <c r="H3442" s="2" t="s">
        <v>36</v>
      </c>
      <c r="I3442" s="2" t="s">
        <v>8186</v>
      </c>
      <c r="J3442" s="3" t="str">
        <f>HYPERLINK("https://www.boe.es/gazeta/dias/1818/02/05/pdfs/GMD-1818-16.pdf#page=8","Abrir facsímil")</f>
        <v>Abrir facsímil</v>
      </c>
      <c r="K3442" s="3" t="s">
        <v>38</v>
      </c>
    </row>
    <row r="3443" spans="1:11" ht="42" customHeight="1">
      <c r="A3443" s="2" t="s">
        <v>8187</v>
      </c>
      <c r="B3443" s="2" t="s">
        <v>8188</v>
      </c>
      <c r="C3443" s="2" t="s">
        <v>57</v>
      </c>
      <c r="D3443" s="2" t="s">
        <v>18</v>
      </c>
      <c r="E3443" s="5">
        <v>-29719</v>
      </c>
      <c r="F3443" s="3" t="s">
        <v>243</v>
      </c>
      <c r="G3443" s="3" t="s">
        <v>2921</v>
      </c>
      <c r="H3443" s="2" t="s">
        <v>36</v>
      </c>
      <c r="I3443" s="2" t="s">
        <v>8189</v>
      </c>
      <c r="J3443" s="3" t="str">
        <f>HYPERLINK("https://www.boe.es/gazeta/dias/1818/08/18/pdfs/GMD-1818-99.pdf#page=12","Abrir facsímil")</f>
        <v>Abrir facsímil</v>
      </c>
      <c r="K3443" s="3" t="s">
        <v>38</v>
      </c>
    </row>
    <row r="3444" spans="1:11" ht="42" customHeight="1">
      <c r="A3444" s="2" t="s">
        <v>8190</v>
      </c>
      <c r="B3444" s="2" t="s">
        <v>8191</v>
      </c>
      <c r="C3444" s="2" t="s">
        <v>17</v>
      </c>
      <c r="D3444" s="2" t="s">
        <v>18</v>
      </c>
      <c r="E3444" s="5">
        <v>-29708</v>
      </c>
      <c r="F3444" s="3" t="s">
        <v>413</v>
      </c>
      <c r="G3444" s="3" t="s">
        <v>106</v>
      </c>
      <c r="H3444" s="2" t="s">
        <v>36</v>
      </c>
      <c r="I3444" s="2" t="s">
        <v>8192</v>
      </c>
      <c r="J3444" s="3" t="str">
        <f>HYPERLINK("https://www.boe.es/gazeta/dias/1818/08/29/pdfs/GMD-1818-104.pdf#page=5","Abrir facsímil")</f>
        <v>Abrir facsímil</v>
      </c>
      <c r="K3444" s="3" t="s">
        <v>38</v>
      </c>
    </row>
    <row r="3445" spans="1:11" ht="42" customHeight="1">
      <c r="A3445" s="2" t="s">
        <v>8193</v>
      </c>
      <c r="B3445" s="2" t="s">
        <v>8194</v>
      </c>
      <c r="C3445" s="2" t="s">
        <v>17</v>
      </c>
      <c r="D3445" s="2" t="s">
        <v>18</v>
      </c>
      <c r="E3445" s="5">
        <v>-29635</v>
      </c>
      <c r="F3445" s="3" t="s">
        <v>560</v>
      </c>
      <c r="G3445" s="3" t="s">
        <v>20</v>
      </c>
      <c r="H3445" s="2" t="s">
        <v>36</v>
      </c>
      <c r="I3445" s="2" t="s">
        <v>8195</v>
      </c>
      <c r="J3445" s="3" t="str">
        <f>HYPERLINK("https://www.boe.es/gazeta/dias/1818/11/10/pdfs/GMD-1818-136.pdf#page=7","Abrir facsímil")</f>
        <v>Abrir facsímil</v>
      </c>
      <c r="K3445" s="3" t="s">
        <v>38</v>
      </c>
    </row>
    <row r="3446" spans="1:11" ht="42" customHeight="1">
      <c r="A3446" s="2" t="s">
        <v>8196</v>
      </c>
      <c r="B3446" s="2" t="s">
        <v>8197</v>
      </c>
      <c r="C3446" s="2" t="s">
        <v>17</v>
      </c>
      <c r="D3446" s="2" t="s">
        <v>18</v>
      </c>
      <c r="E3446" s="5">
        <v>-29708</v>
      </c>
      <c r="F3446" s="3" t="s">
        <v>413</v>
      </c>
      <c r="G3446" s="3" t="s">
        <v>106</v>
      </c>
      <c r="H3446" s="2" t="s">
        <v>36</v>
      </c>
      <c r="I3446" s="2" t="s">
        <v>8198</v>
      </c>
      <c r="J3446" s="3" t="str">
        <f>HYPERLINK("https://www.boe.es/gazeta/dias/1818/08/29/pdfs/GMD-1818-104.pdf#page=5","Abrir facsímil")</f>
        <v>Abrir facsímil</v>
      </c>
      <c r="K3446" s="3" t="s">
        <v>38</v>
      </c>
    </row>
    <row r="3447" spans="1:11" ht="42" customHeight="1">
      <c r="A3447" s="2" t="s">
        <v>8199</v>
      </c>
      <c r="B3447" s="2" t="s">
        <v>8200</v>
      </c>
      <c r="C3447" s="2" t="s">
        <v>26</v>
      </c>
      <c r="D3447" s="2" t="s">
        <v>27</v>
      </c>
      <c r="E3447" s="5">
        <v>-29680</v>
      </c>
      <c r="F3447" s="3" t="s">
        <v>865</v>
      </c>
      <c r="G3447" s="3" t="s">
        <v>20</v>
      </c>
      <c r="H3447" s="2" t="s">
        <v>36</v>
      </c>
      <c r="I3447" s="2" t="s">
        <v>8201</v>
      </c>
      <c r="J3447" s="3" t="str">
        <f>HYPERLINK("https://www.boe.es/gazeta/dias/1818/09/26/pdfs/GMD-1818-116.pdf#page=7","Abrir facsímil")</f>
        <v>Abrir facsímil</v>
      </c>
      <c r="K3447" s="3" t="s">
        <v>38</v>
      </c>
    </row>
    <row r="3448" spans="1:11" ht="42" customHeight="1">
      <c r="A3448" s="2" t="s">
        <v>8202</v>
      </c>
      <c r="B3448" s="2" t="s">
        <v>8203</v>
      </c>
      <c r="C3448" s="2" t="s">
        <v>26</v>
      </c>
      <c r="D3448" s="2" t="s">
        <v>27</v>
      </c>
      <c r="E3448" s="5">
        <v>-29740</v>
      </c>
      <c r="F3448" s="3" t="s">
        <v>152</v>
      </c>
      <c r="G3448" s="3" t="s">
        <v>153</v>
      </c>
      <c r="H3448" s="2" t="s">
        <v>36</v>
      </c>
      <c r="I3448" s="2" t="s">
        <v>8204</v>
      </c>
      <c r="J3448" s="3" t="str">
        <f>HYPERLINK("https://www.boe.es/gazeta/dias/1818/07/28/pdfs/GMD-1818-90.pdf#page=6","Abrir facsímil")</f>
        <v>Abrir facsímil</v>
      </c>
      <c r="K3448" s="3" t="s">
        <v>38</v>
      </c>
    </row>
    <row r="3449" spans="1:11" ht="42" customHeight="1">
      <c r="A3449" s="2" t="s">
        <v>8205</v>
      </c>
      <c r="B3449" s="2" t="s">
        <v>8206</v>
      </c>
      <c r="C3449" s="2" t="s">
        <v>26</v>
      </c>
      <c r="D3449" s="2" t="s">
        <v>27</v>
      </c>
      <c r="E3449" s="5">
        <v>-29638</v>
      </c>
      <c r="F3449" s="3" t="s">
        <v>307</v>
      </c>
      <c r="G3449" s="3" t="s">
        <v>3588</v>
      </c>
      <c r="H3449" s="2" t="s">
        <v>36</v>
      </c>
      <c r="I3449" s="2" t="s">
        <v>8207</v>
      </c>
      <c r="J3449" s="3" t="str">
        <f>HYPERLINK("https://www.boe.es/gazeta/dias/1818/11/07/pdfs/GMD-1818-135.pdf#page=5","Abrir facsímil")</f>
        <v>Abrir facsímil</v>
      </c>
      <c r="K3449" s="3" t="s">
        <v>38</v>
      </c>
    </row>
    <row r="3450" spans="1:11" ht="42" customHeight="1">
      <c r="A3450" s="2" t="s">
        <v>8205</v>
      </c>
      <c r="B3450" s="2" t="s">
        <v>8206</v>
      </c>
      <c r="C3450" s="2" t="s">
        <v>26</v>
      </c>
      <c r="D3450" s="2" t="s">
        <v>27</v>
      </c>
      <c r="E3450" s="5">
        <v>-29638</v>
      </c>
      <c r="F3450" s="3" t="s">
        <v>307</v>
      </c>
      <c r="G3450" s="3" t="s">
        <v>2643</v>
      </c>
      <c r="H3450" s="2" t="s">
        <v>36</v>
      </c>
      <c r="I3450" s="2" t="s">
        <v>8208</v>
      </c>
      <c r="J3450" s="3" t="str">
        <f>HYPERLINK("https://www.boe.es/gazeta/dias/1818/11/07/pdfs/GMD-1818-135.pdf#page=6","Abrir facsímil")</f>
        <v>Abrir facsímil</v>
      </c>
      <c r="K3450" s="3" t="s">
        <v>38</v>
      </c>
    </row>
    <row r="3451" spans="1:11" ht="42" customHeight="1">
      <c r="A3451" s="2" t="s">
        <v>8209</v>
      </c>
      <c r="B3451" s="2" t="s">
        <v>8210</v>
      </c>
      <c r="C3451" s="2" t="s">
        <v>63</v>
      </c>
      <c r="D3451" s="2" t="s">
        <v>18</v>
      </c>
      <c r="E3451" s="5">
        <v>-29698</v>
      </c>
      <c r="F3451" s="3" t="s">
        <v>148</v>
      </c>
      <c r="G3451" s="3" t="s">
        <v>20</v>
      </c>
      <c r="H3451" s="2" t="s">
        <v>36</v>
      </c>
      <c r="I3451" s="2" t="s">
        <v>8211</v>
      </c>
      <c r="J3451" s="3" t="str">
        <f>HYPERLINK("https://www.boe.es/gazeta/dias/1818/09/08/pdfs/GMD-1818-108.pdf#page=7","Abrir facsímil")</f>
        <v>Abrir facsímil</v>
      </c>
      <c r="K3451" s="3" t="s">
        <v>38</v>
      </c>
    </row>
    <row r="3452" spans="1:11" ht="42" customHeight="1">
      <c r="A3452" s="2" t="s">
        <v>8212</v>
      </c>
      <c r="B3452" s="2" t="s">
        <v>8213</v>
      </c>
      <c r="C3452" s="2" t="s">
        <v>26</v>
      </c>
      <c r="D3452" s="2" t="s">
        <v>27</v>
      </c>
      <c r="E3452" s="5">
        <v>-29624</v>
      </c>
      <c r="F3452" s="3" t="s">
        <v>131</v>
      </c>
      <c r="G3452" s="3" t="s">
        <v>1230</v>
      </c>
      <c r="H3452" s="2" t="s">
        <v>36</v>
      </c>
      <c r="I3452" s="2" t="s">
        <v>8214</v>
      </c>
      <c r="J3452" s="3" t="str">
        <f>HYPERLINK("https://www.boe.es/gazeta/dias/1818/11/21/pdfs/GMD-1818-141.pdf#page=6","Abrir facsímil")</f>
        <v>Abrir facsímil</v>
      </c>
      <c r="K3452" s="3" t="s">
        <v>38</v>
      </c>
    </row>
    <row r="3453" spans="1:11" ht="42" customHeight="1">
      <c r="A3453" s="2" t="s">
        <v>8215</v>
      </c>
      <c r="B3453" s="2" t="s">
        <v>8215</v>
      </c>
      <c r="C3453" s="2" t="s">
        <v>215</v>
      </c>
      <c r="D3453" s="2" t="s">
        <v>18</v>
      </c>
      <c r="E3453" s="5">
        <v>-29645</v>
      </c>
      <c r="F3453" s="3" t="s">
        <v>577</v>
      </c>
      <c r="G3453" s="3" t="s">
        <v>45</v>
      </c>
      <c r="H3453" s="2" t="s">
        <v>36</v>
      </c>
      <c r="I3453" s="2" t="s">
        <v>8216</v>
      </c>
      <c r="J3453" s="3" t="str">
        <f>HYPERLINK("https://www.boe.es/gazeta/dias/1818/10/31/pdfs/GMD-1818-132.pdf#page=8","Abrir facsímil")</f>
        <v>Abrir facsímil</v>
      </c>
      <c r="K3453" s="3" t="s">
        <v>38</v>
      </c>
    </row>
    <row r="3454" spans="1:11" ht="42" customHeight="1">
      <c r="A3454" s="2" t="s">
        <v>8217</v>
      </c>
      <c r="B3454" s="2" t="s">
        <v>8218</v>
      </c>
      <c r="C3454" s="2" t="s">
        <v>26</v>
      </c>
      <c r="D3454" s="2" t="s">
        <v>27</v>
      </c>
      <c r="E3454" s="5">
        <v>-29624</v>
      </c>
      <c r="F3454" s="3" t="s">
        <v>131</v>
      </c>
      <c r="G3454" s="3" t="s">
        <v>1230</v>
      </c>
      <c r="H3454" s="2" t="s">
        <v>36</v>
      </c>
      <c r="I3454" s="2" t="s">
        <v>8219</v>
      </c>
      <c r="J3454" s="3" t="str">
        <f>HYPERLINK("https://www.boe.es/gazeta/dias/1818/11/21/pdfs/GMD-1818-141.pdf#page=6","Abrir facsímil")</f>
        <v>Abrir facsímil</v>
      </c>
      <c r="K3454" s="3" t="s">
        <v>38</v>
      </c>
    </row>
    <row r="3455" spans="1:11" ht="42" customHeight="1">
      <c r="A3455" s="2" t="s">
        <v>8220</v>
      </c>
      <c r="B3455" s="2" t="s">
        <v>8221</v>
      </c>
      <c r="C3455" s="2" t="s">
        <v>26</v>
      </c>
      <c r="D3455" s="2" t="s">
        <v>27</v>
      </c>
      <c r="E3455" s="5">
        <v>-29703</v>
      </c>
      <c r="F3455" s="3" t="s">
        <v>294</v>
      </c>
      <c r="G3455" s="3" t="s">
        <v>45</v>
      </c>
      <c r="H3455" s="2" t="s">
        <v>21</v>
      </c>
      <c r="I3455" s="2" t="s">
        <v>8222</v>
      </c>
      <c r="J3455" s="3" t="str">
        <f>HYPERLINK("https://www.boe.es/gazeta/dias/1818/09/03/pdfs/GMD-1818-106.pdf#page=8","Abrir facsímil")</f>
        <v>Abrir facsímil</v>
      </c>
      <c r="K3455" s="3" t="s">
        <v>23</v>
      </c>
    </row>
    <row r="3456" spans="1:11" ht="42" customHeight="1">
      <c r="A3456" s="2" t="s">
        <v>8223</v>
      </c>
      <c r="B3456" s="2" t="s">
        <v>8224</v>
      </c>
      <c r="C3456" s="2" t="s">
        <v>26</v>
      </c>
      <c r="D3456" s="2" t="s">
        <v>27</v>
      </c>
      <c r="E3456" s="5">
        <v>-29691</v>
      </c>
      <c r="F3456" s="3" t="s">
        <v>144</v>
      </c>
      <c r="G3456" s="3" t="s">
        <v>45</v>
      </c>
      <c r="H3456" s="2" t="s">
        <v>36</v>
      </c>
      <c r="I3456" s="2" t="s">
        <v>8225</v>
      </c>
      <c r="J3456" s="3" t="str">
        <f>HYPERLINK("https://www.boe.es/gazeta/dias/1818/09/15/pdfs/GMD-1818-111.pdf#page=8","Abrir facsímil")</f>
        <v>Abrir facsímil</v>
      </c>
      <c r="K3456" s="3" t="s">
        <v>38</v>
      </c>
    </row>
    <row r="3457" spans="1:11" ht="42" customHeight="1">
      <c r="A3457" s="2" t="s">
        <v>8226</v>
      </c>
      <c r="B3457" s="2" t="s">
        <v>8227</v>
      </c>
      <c r="C3457" s="2" t="s">
        <v>68</v>
      </c>
      <c r="D3457" s="2" t="s">
        <v>69</v>
      </c>
      <c r="E3457" s="5">
        <v>-29589</v>
      </c>
      <c r="F3457" s="3" t="s">
        <v>210</v>
      </c>
      <c r="G3457" s="3" t="s">
        <v>211</v>
      </c>
      <c r="H3457" s="2" t="s">
        <v>36</v>
      </c>
      <c r="I3457" s="2" t="s">
        <v>8228</v>
      </c>
      <c r="J3457" s="3" t="str">
        <f>HYPERLINK("https://www.boe.es/gazeta/dias/1818/12/26/pdfs/GMD-1818-156.pdf#page=8","Abrir facsímil")</f>
        <v>Abrir facsímil</v>
      </c>
      <c r="K3457" s="3" t="s">
        <v>38</v>
      </c>
    </row>
    <row r="3458" spans="1:11" ht="42" customHeight="1">
      <c r="A3458" s="2" t="s">
        <v>8229</v>
      </c>
      <c r="B3458" s="2" t="s">
        <v>8230</v>
      </c>
      <c r="C3458" s="2" t="s">
        <v>63</v>
      </c>
      <c r="D3458" s="2" t="s">
        <v>18</v>
      </c>
      <c r="E3458" s="5">
        <v>-29708</v>
      </c>
      <c r="F3458" s="3" t="s">
        <v>413</v>
      </c>
      <c r="G3458" s="3" t="s">
        <v>45</v>
      </c>
      <c r="H3458" s="2" t="s">
        <v>36</v>
      </c>
      <c r="I3458" s="2" t="s">
        <v>8231</v>
      </c>
      <c r="J3458" s="3" t="str">
        <f>HYPERLINK("https://www.boe.es/gazeta/dias/1818/08/29/pdfs/GMD-1818-104.pdf#page=8","Abrir facsímil")</f>
        <v>Abrir facsímil</v>
      </c>
      <c r="K3458" s="3" t="s">
        <v>38</v>
      </c>
    </row>
    <row r="3459" spans="1:11" ht="42" customHeight="1">
      <c r="A3459" s="2" t="s">
        <v>8232</v>
      </c>
      <c r="B3459" s="2" t="s">
        <v>8232</v>
      </c>
      <c r="C3459" s="2" t="s">
        <v>26</v>
      </c>
      <c r="D3459" s="2" t="s">
        <v>27</v>
      </c>
      <c r="E3459" s="5">
        <v>-29640</v>
      </c>
      <c r="F3459" s="3" t="s">
        <v>75</v>
      </c>
      <c r="G3459" s="3" t="s">
        <v>76</v>
      </c>
      <c r="H3459" s="2" t="s">
        <v>36</v>
      </c>
      <c r="I3459" s="2" t="s">
        <v>8233</v>
      </c>
      <c r="J3459" s="3" t="str">
        <f>HYPERLINK("https://www.boe.es/gazeta/dias/1818/11/05/pdfs/GMD-1818-134.pdf#page=5","Abrir facsímil")</f>
        <v>Abrir facsímil</v>
      </c>
      <c r="K3459" s="3" t="s">
        <v>38</v>
      </c>
    </row>
    <row r="3460" spans="1:11" ht="42" customHeight="1">
      <c r="A3460" s="2" t="s">
        <v>8234</v>
      </c>
      <c r="B3460" s="2" t="s">
        <v>8235</v>
      </c>
      <c r="C3460" s="2" t="s">
        <v>26</v>
      </c>
      <c r="D3460" s="2" t="s">
        <v>27</v>
      </c>
      <c r="E3460" s="5">
        <v>-29640</v>
      </c>
      <c r="F3460" s="3" t="s">
        <v>75</v>
      </c>
      <c r="G3460" s="3" t="s">
        <v>85</v>
      </c>
      <c r="H3460" s="2" t="s">
        <v>21</v>
      </c>
      <c r="I3460" s="2" t="s">
        <v>8236</v>
      </c>
      <c r="J3460" s="3" t="str">
        <f>HYPERLINK("https://www.boe.es/gazeta/dias/1818/11/05/pdfs/GMD-1818-134.pdf#page=3","Abrir facsímil")</f>
        <v>Abrir facsímil</v>
      </c>
      <c r="K3460" s="3" t="s">
        <v>23</v>
      </c>
    </row>
    <row r="3461" spans="1:11" ht="42" customHeight="1">
      <c r="A3461" s="2" t="s">
        <v>8237</v>
      </c>
      <c r="B3461" s="2" t="s">
        <v>8238</v>
      </c>
      <c r="C3461" s="2" t="s">
        <v>26</v>
      </c>
      <c r="D3461" s="2" t="s">
        <v>27</v>
      </c>
      <c r="E3461" s="5">
        <v>-29640</v>
      </c>
      <c r="F3461" s="3" t="s">
        <v>75</v>
      </c>
      <c r="G3461" s="3" t="s">
        <v>76</v>
      </c>
      <c r="H3461" s="2" t="s">
        <v>36</v>
      </c>
      <c r="I3461" s="2" t="s">
        <v>8239</v>
      </c>
      <c r="J3461" s="3" t="str">
        <f>HYPERLINK("https://www.boe.es/gazeta/dias/1818/11/05/pdfs/GMD-1818-134.pdf#page=5","Abrir facsímil")</f>
        <v>Abrir facsímil</v>
      </c>
      <c r="K3461" s="3" t="s">
        <v>38</v>
      </c>
    </row>
    <row r="3462" spans="1:11" ht="42" customHeight="1">
      <c r="A3462" s="2" t="s">
        <v>8240</v>
      </c>
      <c r="B3462" s="2" t="s">
        <v>8241</v>
      </c>
      <c r="C3462" s="2" t="s">
        <v>17</v>
      </c>
      <c r="D3462" s="2" t="s">
        <v>18</v>
      </c>
      <c r="E3462" s="5">
        <v>-29624</v>
      </c>
      <c r="F3462" s="3" t="s">
        <v>131</v>
      </c>
      <c r="G3462" s="3" t="s">
        <v>20</v>
      </c>
      <c r="H3462" s="2" t="s">
        <v>36</v>
      </c>
      <c r="I3462" s="2" t="s">
        <v>8242</v>
      </c>
      <c r="J3462" s="3" t="str">
        <f>HYPERLINK("https://www.boe.es/gazeta/dias/1818/11/21/pdfs/GMD-1818-141.pdf#page=7","Abrir facsímil")</f>
        <v>Abrir facsímil</v>
      </c>
      <c r="K3462" s="3" t="s">
        <v>38</v>
      </c>
    </row>
    <row r="3463" spans="1:11" ht="42" customHeight="1">
      <c r="A3463" s="2" t="s">
        <v>8243</v>
      </c>
      <c r="B3463" s="2" t="s">
        <v>8244</v>
      </c>
      <c r="C3463" s="2" t="s">
        <v>26</v>
      </c>
      <c r="D3463" s="2" t="s">
        <v>27</v>
      </c>
      <c r="E3463" s="5">
        <v>-29764</v>
      </c>
      <c r="F3463" s="3" t="s">
        <v>464</v>
      </c>
      <c r="G3463" s="3" t="s">
        <v>59</v>
      </c>
      <c r="H3463" s="2" t="s">
        <v>36</v>
      </c>
      <c r="I3463" s="2" t="s">
        <v>8245</v>
      </c>
      <c r="J3463" s="3" t="str">
        <f>HYPERLINK("https://www.boe.es/gazeta/dias/1818/07/04/pdfs/GMD-1818-80.pdf#page=6","Abrir facsímil")</f>
        <v>Abrir facsímil</v>
      </c>
      <c r="K3463" s="3" t="s">
        <v>38</v>
      </c>
    </row>
    <row r="3464" spans="1:11" ht="42" customHeight="1">
      <c r="A3464" s="2" t="s">
        <v>8246</v>
      </c>
      <c r="B3464" s="2" t="s">
        <v>8247</v>
      </c>
      <c r="C3464" s="2" t="s">
        <v>26</v>
      </c>
      <c r="D3464" s="2" t="s">
        <v>27</v>
      </c>
      <c r="E3464" s="5">
        <v>-29722</v>
      </c>
      <c r="F3464" s="3" t="s">
        <v>1127</v>
      </c>
      <c r="G3464" s="3" t="s">
        <v>45</v>
      </c>
      <c r="H3464" s="2" t="s">
        <v>36</v>
      </c>
      <c r="I3464" s="2" t="s">
        <v>8248</v>
      </c>
      <c r="J3464" s="3" t="str">
        <f>HYPERLINK("https://www.boe.es/gazeta/dias/1818/08/15/pdfs/GMD-1818-98.pdf#page=8","Abrir facsímil")</f>
        <v>Abrir facsímil</v>
      </c>
      <c r="K3464" s="3" t="s">
        <v>38</v>
      </c>
    </row>
    <row r="3465" spans="1:11" ht="42" customHeight="1">
      <c r="A3465" s="2" t="s">
        <v>8249</v>
      </c>
      <c r="B3465" s="2" t="s">
        <v>8250</v>
      </c>
      <c r="C3465" s="2" t="s">
        <v>57</v>
      </c>
      <c r="D3465" s="2" t="s">
        <v>18</v>
      </c>
      <c r="E3465" s="5">
        <v>-29738</v>
      </c>
      <c r="F3465" s="3" t="s">
        <v>263</v>
      </c>
      <c r="G3465" s="3" t="s">
        <v>71</v>
      </c>
      <c r="H3465" s="2" t="s">
        <v>36</v>
      </c>
      <c r="I3465" s="2" t="s">
        <v>8251</v>
      </c>
      <c r="J3465" s="3" t="str">
        <f>HYPERLINK("https://www.boe.es/gazeta/dias/1818/07/30/pdfs/GMD-1818-91.pdf#page=16","Abrir facsímil")</f>
        <v>Abrir facsímil</v>
      </c>
      <c r="K3465" s="3" t="s">
        <v>38</v>
      </c>
    </row>
    <row r="3466" spans="1:11" ht="42" customHeight="1">
      <c r="A3466" s="2" t="s">
        <v>8249</v>
      </c>
      <c r="B3466" s="2" t="s">
        <v>8250</v>
      </c>
      <c r="C3466" s="2" t="s">
        <v>57</v>
      </c>
      <c r="D3466" s="2" t="s">
        <v>18</v>
      </c>
      <c r="E3466" s="5">
        <v>-29663</v>
      </c>
      <c r="F3466" s="3" t="s">
        <v>1011</v>
      </c>
      <c r="G3466" s="3" t="s">
        <v>45</v>
      </c>
      <c r="H3466" s="2" t="s">
        <v>36</v>
      </c>
      <c r="I3466" s="2" t="s">
        <v>8252</v>
      </c>
      <c r="J3466" s="3" t="str">
        <f>HYPERLINK("https://www.boe.es/gazeta/dias/1818/10/13/pdfs/GMD-1818-123.pdf#page=8","Abrir facsímil")</f>
        <v>Abrir facsímil</v>
      </c>
      <c r="K3466" s="3" t="s">
        <v>38</v>
      </c>
    </row>
    <row r="3467" spans="1:11" ht="42" customHeight="1">
      <c r="A3467" s="2" t="s">
        <v>8253</v>
      </c>
      <c r="B3467" s="2" t="s">
        <v>8254</v>
      </c>
      <c r="C3467" s="2" t="s">
        <v>63</v>
      </c>
      <c r="D3467" s="2" t="s">
        <v>18</v>
      </c>
      <c r="E3467" s="5">
        <v>-29598</v>
      </c>
      <c r="F3467" s="3" t="s">
        <v>98</v>
      </c>
      <c r="G3467" s="3" t="s">
        <v>45</v>
      </c>
      <c r="H3467" s="2" t="s">
        <v>21</v>
      </c>
      <c r="I3467" s="2" t="s">
        <v>8255</v>
      </c>
      <c r="J3467" s="3" t="str">
        <f>HYPERLINK("https://www.boe.es/gazeta/dias/1818/12/17/pdfs/GMD-1818-152.pdf#page=8","Abrir facsímil")</f>
        <v>Abrir facsímil</v>
      </c>
      <c r="K3467" s="3" t="s">
        <v>23</v>
      </c>
    </row>
    <row r="3468" spans="1:11" ht="42" customHeight="1">
      <c r="A3468" s="2" t="s">
        <v>8256</v>
      </c>
      <c r="B3468" s="2" t="s">
        <v>8257</v>
      </c>
      <c r="C3468" s="2" t="s">
        <v>26</v>
      </c>
      <c r="D3468" s="2" t="s">
        <v>27</v>
      </c>
      <c r="E3468" s="5">
        <v>-29680</v>
      </c>
      <c r="F3468" s="3" t="s">
        <v>865</v>
      </c>
      <c r="G3468" s="3" t="s">
        <v>20</v>
      </c>
      <c r="H3468" s="2" t="s">
        <v>36</v>
      </c>
      <c r="I3468" s="2" t="s">
        <v>8258</v>
      </c>
      <c r="J3468" s="3" t="str">
        <f>HYPERLINK("https://www.boe.es/gazeta/dias/1818/09/26/pdfs/GMD-1818-116.pdf#page=7","Abrir facsímil")</f>
        <v>Abrir facsímil</v>
      </c>
      <c r="K3468" s="3" t="s">
        <v>38</v>
      </c>
    </row>
    <row r="3469" spans="1:11" ht="42" customHeight="1">
      <c r="A3469" s="2" t="s">
        <v>8259</v>
      </c>
      <c r="B3469" s="2" t="s">
        <v>8260</v>
      </c>
      <c r="C3469" s="2" t="s">
        <v>26</v>
      </c>
      <c r="D3469" s="2" t="s">
        <v>27</v>
      </c>
      <c r="E3469" s="5">
        <v>-29731</v>
      </c>
      <c r="F3469" s="3" t="s">
        <v>299</v>
      </c>
      <c r="G3469" s="3" t="s">
        <v>45</v>
      </c>
      <c r="H3469" s="2" t="s">
        <v>36</v>
      </c>
      <c r="I3469" s="2" t="s">
        <v>8261</v>
      </c>
      <c r="J3469" s="3" t="str">
        <f>HYPERLINK("https://www.boe.es/gazeta/dias/1818/08/06/pdfs/GMD-1818-94.pdf#page=8","Abrir facsímil")</f>
        <v>Abrir facsímil</v>
      </c>
      <c r="K3469" s="3" t="s">
        <v>38</v>
      </c>
    </row>
    <row r="3470" spans="1:11" ht="42" customHeight="1">
      <c r="A3470" s="2" t="s">
        <v>8262</v>
      </c>
      <c r="B3470" s="2" t="s">
        <v>8263</v>
      </c>
      <c r="C3470" s="2" t="s">
        <v>26</v>
      </c>
      <c r="D3470" s="2" t="s">
        <v>27</v>
      </c>
      <c r="E3470" s="5">
        <v>-29750</v>
      </c>
      <c r="F3470" s="3" t="s">
        <v>384</v>
      </c>
      <c r="G3470" s="3" t="s">
        <v>111</v>
      </c>
      <c r="H3470" s="2" t="s">
        <v>36</v>
      </c>
      <c r="I3470" s="2" t="s">
        <v>8264</v>
      </c>
      <c r="J3470" s="3" t="str">
        <f>HYPERLINK("https://www.boe.es/gazeta/dias/1818/07/18/pdfs/GMD-1818-86.pdf#page=11","Abrir facsímil")</f>
        <v>Abrir facsímil</v>
      </c>
      <c r="K3470" s="3" t="s">
        <v>38</v>
      </c>
    </row>
    <row r="3471" spans="1:11" ht="42" customHeight="1">
      <c r="A3471" s="2" t="s">
        <v>8265</v>
      </c>
      <c r="B3471" s="2" t="s">
        <v>8266</v>
      </c>
      <c r="C3471" s="2" t="s">
        <v>57</v>
      </c>
      <c r="D3471" s="2" t="s">
        <v>18</v>
      </c>
      <c r="E3471" s="5">
        <v>-29619</v>
      </c>
      <c r="F3471" s="3" t="s">
        <v>64</v>
      </c>
      <c r="G3471" s="3" t="s">
        <v>20</v>
      </c>
      <c r="H3471" s="2" t="s">
        <v>36</v>
      </c>
      <c r="I3471" s="2" t="s">
        <v>8267</v>
      </c>
      <c r="J3471" s="3" t="str">
        <f>HYPERLINK("https://www.boe.es/gazeta/dias/1818/11/26/pdfs/GMD-1818-143.pdf#page=7","Abrir facsímil")</f>
        <v>Abrir facsímil</v>
      </c>
      <c r="K3471" s="3" t="s">
        <v>38</v>
      </c>
    </row>
    <row r="3472" spans="1:11" ht="42" customHeight="1">
      <c r="A3472" s="2" t="s">
        <v>8268</v>
      </c>
      <c r="B3472" s="2" t="s">
        <v>8269</v>
      </c>
      <c r="C3472" s="2" t="s">
        <v>17</v>
      </c>
      <c r="D3472" s="2" t="s">
        <v>18</v>
      </c>
      <c r="E3472" s="5">
        <v>-29733</v>
      </c>
      <c r="F3472" s="3" t="s">
        <v>482</v>
      </c>
      <c r="G3472" s="3" t="s">
        <v>59</v>
      </c>
      <c r="H3472" s="2" t="s">
        <v>21</v>
      </c>
      <c r="I3472" s="2" t="s">
        <v>8270</v>
      </c>
      <c r="J3472" s="3" t="str">
        <f>HYPERLINK("https://www.boe.es/gazeta/dias/1818/08/04/pdfs/GMD-1818-93.pdf#page=6","Abrir facsímil")</f>
        <v>Abrir facsímil</v>
      </c>
      <c r="K3472" s="3" t="s">
        <v>23</v>
      </c>
    </row>
    <row r="3473" spans="1:11" ht="42" customHeight="1">
      <c r="A3473" s="2" t="s">
        <v>8271</v>
      </c>
      <c r="B3473" s="2" t="s">
        <v>8272</v>
      </c>
      <c r="C3473" s="2" t="s">
        <v>26</v>
      </c>
      <c r="D3473" s="2" t="s">
        <v>27</v>
      </c>
      <c r="E3473" s="5">
        <v>-29876</v>
      </c>
      <c r="F3473" s="3" t="s">
        <v>338</v>
      </c>
      <c r="G3473" s="3" t="s">
        <v>339</v>
      </c>
      <c r="H3473" s="2" t="s">
        <v>21</v>
      </c>
      <c r="I3473" s="2" t="s">
        <v>8273</v>
      </c>
      <c r="J3473" s="3" t="str">
        <f>HYPERLINK("https://www.boe.es/gazeta/dias/1818/03/14/pdfs/GMD-1818-32.pdf#page=8","Abrir facsímil")</f>
        <v>Abrir facsímil</v>
      </c>
      <c r="K3473" s="3" t="s">
        <v>23</v>
      </c>
    </row>
    <row r="3474" spans="1:11" ht="42" customHeight="1">
      <c r="A3474" s="2" t="s">
        <v>8274</v>
      </c>
      <c r="B3474" s="2" t="s">
        <v>8275</v>
      </c>
      <c r="C3474" s="2" t="s">
        <v>57</v>
      </c>
      <c r="D3474" s="2" t="s">
        <v>18</v>
      </c>
      <c r="E3474" s="5">
        <v>-29813</v>
      </c>
      <c r="F3474" s="3" t="s">
        <v>839</v>
      </c>
      <c r="G3474" s="3" t="s">
        <v>45</v>
      </c>
      <c r="H3474" s="2" t="s">
        <v>21</v>
      </c>
      <c r="I3474" s="2" t="s">
        <v>8276</v>
      </c>
      <c r="J3474" s="3" t="str">
        <f>HYPERLINK("https://www.boe.es/gazeta/dias/1818/05/16/pdfs/GMD-1818-59.pdf#page=8","Abrir facsímil")</f>
        <v>Abrir facsímil</v>
      </c>
      <c r="K3474" s="3" t="s">
        <v>23</v>
      </c>
    </row>
    <row r="3475" spans="1:11" ht="42" customHeight="1">
      <c r="A3475" s="2" t="s">
        <v>8277</v>
      </c>
      <c r="B3475" s="2" t="s">
        <v>8277</v>
      </c>
      <c r="C3475" s="2" t="s">
        <v>26</v>
      </c>
      <c r="D3475" s="2" t="s">
        <v>27</v>
      </c>
      <c r="E3475" s="5">
        <v>-29934</v>
      </c>
      <c r="F3475" s="3" t="s">
        <v>53</v>
      </c>
      <c r="G3475" s="3" t="s">
        <v>59</v>
      </c>
      <c r="H3475" s="2" t="s">
        <v>36</v>
      </c>
      <c r="I3475" s="2" t="s">
        <v>8278</v>
      </c>
      <c r="J3475" s="3" t="str">
        <f>HYPERLINK("https://www.boe.es/gazeta/dias/1818/01/15/pdfs/GMD-1818-7.pdf#page=6","Abrir facsímil")</f>
        <v>Abrir facsímil</v>
      </c>
      <c r="K3475" s="3" t="s">
        <v>38</v>
      </c>
    </row>
    <row r="3476" spans="1:11" ht="42" customHeight="1">
      <c r="A3476" s="2" t="s">
        <v>8277</v>
      </c>
      <c r="B3476" s="2" t="s">
        <v>8277</v>
      </c>
      <c r="C3476" s="2" t="s">
        <v>17</v>
      </c>
      <c r="D3476" s="2" t="s">
        <v>18</v>
      </c>
      <c r="E3476" s="5">
        <v>-29845</v>
      </c>
      <c r="F3476" s="3" t="s">
        <v>105</v>
      </c>
      <c r="G3476" s="3" t="s">
        <v>20</v>
      </c>
      <c r="H3476" s="2" t="s">
        <v>36</v>
      </c>
      <c r="I3476" s="2" t="s">
        <v>8279</v>
      </c>
      <c r="J3476" s="3" t="str">
        <f>HYPERLINK("https://www.boe.es/gazeta/dias/1818/04/14/pdfs/GMD-1818-45.pdf#page=7","Abrir facsímil")</f>
        <v>Abrir facsímil</v>
      </c>
      <c r="K3476" s="3" t="s">
        <v>38</v>
      </c>
    </row>
    <row r="3477" spans="1:11" ht="42" customHeight="1">
      <c r="A3477" s="2" t="s">
        <v>8277</v>
      </c>
      <c r="B3477" s="2" t="s">
        <v>8277</v>
      </c>
      <c r="C3477" s="2" t="s">
        <v>17</v>
      </c>
      <c r="D3477" s="2" t="s">
        <v>18</v>
      </c>
      <c r="E3477" s="5">
        <v>-29612</v>
      </c>
      <c r="F3477" s="3" t="s">
        <v>1765</v>
      </c>
      <c r="G3477" s="3" t="s">
        <v>20</v>
      </c>
      <c r="H3477" s="2" t="s">
        <v>36</v>
      </c>
      <c r="I3477" s="2" t="s">
        <v>8280</v>
      </c>
      <c r="J3477" s="3" t="str">
        <f>HYPERLINK("https://www.boe.es/gazeta/dias/1818/12/03/pdfs/GMD-1818-146.pdf#page=7","Abrir facsímil")</f>
        <v>Abrir facsímil</v>
      </c>
      <c r="K3477" s="3" t="s">
        <v>38</v>
      </c>
    </row>
    <row r="3478" spans="1:11" ht="42" customHeight="1">
      <c r="A3478" s="2" t="s">
        <v>8281</v>
      </c>
      <c r="B3478" s="2" t="s">
        <v>8282</v>
      </c>
      <c r="C3478" s="2" t="s">
        <v>26</v>
      </c>
      <c r="D3478" s="2" t="s">
        <v>27</v>
      </c>
      <c r="E3478" s="5">
        <v>-29831</v>
      </c>
      <c r="F3478" s="3" t="s">
        <v>567</v>
      </c>
      <c r="G3478" s="3" t="s">
        <v>45</v>
      </c>
      <c r="H3478" s="2" t="s">
        <v>36</v>
      </c>
      <c r="I3478" s="2" t="s">
        <v>8283</v>
      </c>
      <c r="J3478" s="3" t="str">
        <f>HYPERLINK("https://www.boe.es/gazeta/dias/1818/04/28/pdfs/GMD-1818-51.pdf#page=8","Abrir facsímil")</f>
        <v>Abrir facsímil</v>
      </c>
      <c r="K3478" s="3" t="s">
        <v>38</v>
      </c>
    </row>
    <row r="3479" spans="1:11" ht="42" customHeight="1">
      <c r="A3479" s="2" t="s">
        <v>8281</v>
      </c>
      <c r="B3479" s="2" t="s">
        <v>8282</v>
      </c>
      <c r="C3479" s="2" t="s">
        <v>26</v>
      </c>
      <c r="D3479" s="2" t="s">
        <v>27</v>
      </c>
      <c r="E3479" s="5">
        <v>-29782</v>
      </c>
      <c r="F3479" s="3" t="s">
        <v>226</v>
      </c>
      <c r="G3479" s="3" t="s">
        <v>20</v>
      </c>
      <c r="H3479" s="2" t="s">
        <v>36</v>
      </c>
      <c r="I3479" s="2" t="s">
        <v>8284</v>
      </c>
      <c r="J3479" s="3" t="str">
        <f>HYPERLINK("https://www.boe.es/gazeta/dias/1818/06/16/pdfs/GMD-1818-72.pdf#page=7","Abrir facsímil")</f>
        <v>Abrir facsímil</v>
      </c>
      <c r="K3479" s="3" t="s">
        <v>38</v>
      </c>
    </row>
    <row r="3480" spans="1:11" ht="42" customHeight="1">
      <c r="A3480" s="2" t="s">
        <v>8285</v>
      </c>
      <c r="B3480" s="2" t="s">
        <v>8286</v>
      </c>
      <c r="C3480" s="2" t="s">
        <v>33</v>
      </c>
      <c r="D3480" s="2" t="s">
        <v>18</v>
      </c>
      <c r="E3480" s="5">
        <v>-29934</v>
      </c>
      <c r="F3480" s="3" t="s">
        <v>53</v>
      </c>
      <c r="G3480" s="3" t="s">
        <v>20</v>
      </c>
      <c r="H3480" s="2" t="s">
        <v>21</v>
      </c>
      <c r="I3480" s="2" t="s">
        <v>8287</v>
      </c>
      <c r="J3480" s="3" t="str">
        <f>HYPERLINK("https://www.boe.es/gazeta/dias/1818/01/15/pdfs/GMD-1818-7.pdf#page=7","Abrir facsímil")</f>
        <v>Abrir facsímil</v>
      </c>
      <c r="K3480" s="3" t="s">
        <v>23</v>
      </c>
    </row>
    <row r="3481" spans="1:11" ht="42" customHeight="1">
      <c r="A3481" s="2" t="s">
        <v>8288</v>
      </c>
      <c r="B3481" s="2" t="s">
        <v>8289</v>
      </c>
      <c r="C3481" s="2" t="s">
        <v>26</v>
      </c>
      <c r="D3481" s="2" t="s">
        <v>27</v>
      </c>
      <c r="E3481" s="5">
        <v>-29934</v>
      </c>
      <c r="F3481" s="3" t="s">
        <v>53</v>
      </c>
      <c r="G3481" s="3" t="s">
        <v>20</v>
      </c>
      <c r="H3481" s="2" t="s">
        <v>21</v>
      </c>
      <c r="I3481" s="2" t="s">
        <v>8290</v>
      </c>
      <c r="J3481" s="3" t="str">
        <f>HYPERLINK("https://www.boe.es/gazeta/dias/1818/01/15/pdfs/GMD-1818-7.pdf#page=7","Abrir facsímil")</f>
        <v>Abrir facsímil</v>
      </c>
      <c r="K3481" s="3" t="s">
        <v>23</v>
      </c>
    </row>
    <row r="3482" spans="1:11" ht="42" customHeight="1">
      <c r="A3482" s="2" t="s">
        <v>8291</v>
      </c>
      <c r="B3482" s="2" t="s">
        <v>8292</v>
      </c>
      <c r="C3482" s="2" t="s">
        <v>17</v>
      </c>
      <c r="D3482" s="2" t="s">
        <v>18</v>
      </c>
      <c r="E3482" s="5">
        <v>-29738</v>
      </c>
      <c r="F3482" s="3" t="s">
        <v>263</v>
      </c>
      <c r="G3482" s="3" t="s">
        <v>45</v>
      </c>
      <c r="H3482" s="2" t="s">
        <v>36</v>
      </c>
      <c r="I3482" s="2" t="s">
        <v>8293</v>
      </c>
      <c r="J3482" s="3" t="str">
        <f>HYPERLINK("https://www.boe.es/gazeta/dias/1818/07/30/pdfs/GMD-1818-91.pdf#page=8","Abrir facsímil")</f>
        <v>Abrir facsímil</v>
      </c>
      <c r="K3482" s="3" t="s">
        <v>38</v>
      </c>
    </row>
    <row r="3483" spans="1:11" ht="42" customHeight="1">
      <c r="A3483" s="2" t="s">
        <v>8294</v>
      </c>
      <c r="B3483" s="2" t="s">
        <v>8295</v>
      </c>
      <c r="C3483" s="2" t="s">
        <v>68</v>
      </c>
      <c r="D3483" s="2" t="s">
        <v>69</v>
      </c>
      <c r="E3483" s="5">
        <v>-29813</v>
      </c>
      <c r="F3483" s="3" t="s">
        <v>839</v>
      </c>
      <c r="G3483" s="3" t="s">
        <v>49</v>
      </c>
      <c r="H3483" s="2" t="s">
        <v>36</v>
      </c>
      <c r="I3483" s="2" t="s">
        <v>8296</v>
      </c>
      <c r="J3483" s="3" t="str">
        <f>HYPERLINK("https://www.boe.es/gazeta/dias/1818/05/16/pdfs/GMD-1818-59.pdf#page=1","Abrir facsímil")</f>
        <v>Abrir facsímil</v>
      </c>
      <c r="K3483" s="3" t="s">
        <v>38</v>
      </c>
    </row>
    <row r="3484" spans="1:11" ht="42" customHeight="1">
      <c r="A3484" s="2" t="s">
        <v>8297</v>
      </c>
      <c r="B3484" s="2" t="s">
        <v>8297</v>
      </c>
      <c r="C3484" s="2" t="s">
        <v>17</v>
      </c>
      <c r="D3484" s="2" t="s">
        <v>18</v>
      </c>
      <c r="E3484" s="5">
        <v>-29864</v>
      </c>
      <c r="F3484" s="3" t="s">
        <v>196</v>
      </c>
      <c r="G3484" s="3" t="s">
        <v>45</v>
      </c>
      <c r="H3484" s="2" t="s">
        <v>36</v>
      </c>
      <c r="I3484" s="2" t="s">
        <v>8298</v>
      </c>
      <c r="J3484" s="3" t="str">
        <f>HYPERLINK("https://www.boe.es/gazeta/dias/1818/03/26/pdfs/GMD-1818-37.pdf#page=8","Abrir facsímil")</f>
        <v>Abrir facsímil</v>
      </c>
      <c r="K3484" s="3" t="s">
        <v>38</v>
      </c>
    </row>
    <row r="3485" spans="1:11" ht="42" customHeight="1">
      <c r="A3485" s="2" t="s">
        <v>8299</v>
      </c>
      <c r="B3485" s="2" t="s">
        <v>8299</v>
      </c>
      <c r="C3485" s="2" t="s">
        <v>17</v>
      </c>
      <c r="D3485" s="2" t="s">
        <v>18</v>
      </c>
      <c r="E3485" s="5">
        <v>-29750</v>
      </c>
      <c r="F3485" s="3" t="s">
        <v>384</v>
      </c>
      <c r="G3485" s="3" t="s">
        <v>29</v>
      </c>
      <c r="H3485" s="2" t="s">
        <v>36</v>
      </c>
      <c r="I3485" s="2" t="s">
        <v>8300</v>
      </c>
      <c r="J3485" s="3" t="str">
        <f>HYPERLINK("https://www.boe.es/gazeta/dias/1818/07/18/pdfs/GMD-1818-86.pdf#page=4","Abrir facsímil")</f>
        <v>Abrir facsímil</v>
      </c>
      <c r="K3485" s="3" t="s">
        <v>38</v>
      </c>
    </row>
    <row r="3486" spans="1:11" ht="42" customHeight="1">
      <c r="A3486" s="2" t="s">
        <v>8299</v>
      </c>
      <c r="B3486" s="2" t="s">
        <v>8299</v>
      </c>
      <c r="C3486" s="2" t="s">
        <v>26</v>
      </c>
      <c r="D3486" s="2" t="s">
        <v>27</v>
      </c>
      <c r="E3486" s="5">
        <v>-29712</v>
      </c>
      <c r="F3486" s="3" t="s">
        <v>1309</v>
      </c>
      <c r="G3486" s="3" t="s">
        <v>20</v>
      </c>
      <c r="H3486" s="2" t="s">
        <v>36</v>
      </c>
      <c r="I3486" s="2" t="s">
        <v>8301</v>
      </c>
      <c r="J3486" s="3" t="str">
        <f>HYPERLINK("https://www.boe.es/gazeta/dias/1818/08/25/pdfs/GMD-1818-102.pdf#page=7","Abrir facsímil")</f>
        <v>Abrir facsímil</v>
      </c>
      <c r="K3486" s="3" t="s">
        <v>38</v>
      </c>
    </row>
    <row r="3487" spans="1:11" ht="42" customHeight="1">
      <c r="A3487" s="2" t="s">
        <v>8302</v>
      </c>
      <c r="B3487" s="2" t="s">
        <v>8303</v>
      </c>
      <c r="C3487" s="2" t="s">
        <v>63</v>
      </c>
      <c r="D3487" s="2" t="s">
        <v>18</v>
      </c>
      <c r="E3487" s="5">
        <v>-29619</v>
      </c>
      <c r="F3487" s="3" t="s">
        <v>64</v>
      </c>
      <c r="G3487" s="3" t="s">
        <v>20</v>
      </c>
      <c r="H3487" s="2" t="s">
        <v>36</v>
      </c>
      <c r="I3487" s="2" t="s">
        <v>8304</v>
      </c>
      <c r="J3487" s="3" t="str">
        <f>HYPERLINK("https://www.boe.es/gazeta/dias/1818/11/26/pdfs/GMD-1818-143.pdf#page=7","Abrir facsímil")</f>
        <v>Abrir facsímil</v>
      </c>
      <c r="K3487" s="3" t="s">
        <v>38</v>
      </c>
    </row>
    <row r="3488" spans="1:11" ht="42" customHeight="1">
      <c r="A3488" s="2" t="s">
        <v>8305</v>
      </c>
      <c r="B3488" s="2" t="s">
        <v>8305</v>
      </c>
      <c r="C3488" s="2" t="s">
        <v>26</v>
      </c>
      <c r="D3488" s="2" t="s">
        <v>27</v>
      </c>
      <c r="E3488" s="5">
        <v>-29939</v>
      </c>
      <c r="F3488" s="3" t="s">
        <v>110</v>
      </c>
      <c r="G3488" s="3" t="s">
        <v>45</v>
      </c>
      <c r="H3488" s="2" t="s">
        <v>36</v>
      </c>
      <c r="I3488" s="2" t="s">
        <v>8306</v>
      </c>
      <c r="J3488" s="3" t="str">
        <f>HYPERLINK("https://www.boe.es/gazeta/dias/1818/01/10/pdfs/GMD-1818-5.pdf#page=8","Abrir facsímil")</f>
        <v>Abrir facsímil</v>
      </c>
      <c r="K3488" s="3" t="s">
        <v>38</v>
      </c>
    </row>
    <row r="3489" spans="1:11" ht="42" customHeight="1">
      <c r="A3489" s="2" t="s">
        <v>8307</v>
      </c>
      <c r="B3489" s="2" t="s">
        <v>8308</v>
      </c>
      <c r="C3489" s="2" t="s">
        <v>26</v>
      </c>
      <c r="D3489" s="2" t="s">
        <v>27</v>
      </c>
      <c r="E3489" s="5">
        <v>-29939</v>
      </c>
      <c r="F3489" s="3" t="s">
        <v>110</v>
      </c>
      <c r="G3489" s="3" t="s">
        <v>933</v>
      </c>
      <c r="H3489" s="2" t="s">
        <v>36</v>
      </c>
      <c r="I3489" s="2" t="s">
        <v>8309</v>
      </c>
      <c r="J3489" s="3" t="str">
        <f>HYPERLINK("https://www.boe.es/gazeta/dias/1818/01/10/pdfs/GMD-1818-5.pdf#page=9","Abrir facsímil")</f>
        <v>Abrir facsímil</v>
      </c>
      <c r="K3489" s="3" t="s">
        <v>38</v>
      </c>
    </row>
    <row r="3490" spans="1:11" ht="42" customHeight="1">
      <c r="A3490" s="2" t="s">
        <v>8307</v>
      </c>
      <c r="B3490" s="2" t="s">
        <v>8308</v>
      </c>
      <c r="C3490" s="2" t="s">
        <v>26</v>
      </c>
      <c r="D3490" s="2" t="s">
        <v>27</v>
      </c>
      <c r="E3490" s="5">
        <v>-29939</v>
      </c>
      <c r="F3490" s="3" t="s">
        <v>110</v>
      </c>
      <c r="G3490" s="3" t="s">
        <v>20</v>
      </c>
      <c r="H3490" s="2" t="s">
        <v>36</v>
      </c>
      <c r="I3490" s="2" t="s">
        <v>8310</v>
      </c>
      <c r="J3490" s="3" t="str">
        <f>HYPERLINK("https://www.boe.es/gazeta/dias/1818/01/10/pdfs/GMD-1818-5.pdf#page=7","Abrir facsímil")</f>
        <v>Abrir facsímil</v>
      </c>
      <c r="K3490" s="3" t="s">
        <v>38</v>
      </c>
    </row>
    <row r="3491" spans="1:11" ht="42" customHeight="1">
      <c r="A3491" s="2" t="s">
        <v>8307</v>
      </c>
      <c r="B3491" s="2" t="s">
        <v>8308</v>
      </c>
      <c r="C3491" s="2" t="s">
        <v>26</v>
      </c>
      <c r="D3491" s="2" t="s">
        <v>27</v>
      </c>
      <c r="E3491" s="5">
        <v>-29913</v>
      </c>
      <c r="F3491" s="3" t="s">
        <v>449</v>
      </c>
      <c r="G3491" s="3" t="s">
        <v>5747</v>
      </c>
      <c r="H3491" s="2" t="s">
        <v>36</v>
      </c>
      <c r="I3491" s="2" t="s">
        <v>8311</v>
      </c>
      <c r="J3491" s="3" t="str">
        <f>HYPERLINK("https://www.boe.es/gazeta/dias/1818/02/05/pdfs/GMD-1818-16.pdf#page=4","Abrir facsímil")</f>
        <v>Abrir facsímil</v>
      </c>
      <c r="K3491" s="3" t="s">
        <v>38</v>
      </c>
    </row>
    <row r="3492" spans="1:11" ht="42" customHeight="1">
      <c r="A3492" s="2" t="s">
        <v>8307</v>
      </c>
      <c r="B3492" s="2" t="s">
        <v>8308</v>
      </c>
      <c r="C3492" s="2" t="s">
        <v>26</v>
      </c>
      <c r="D3492" s="2" t="s">
        <v>27</v>
      </c>
      <c r="E3492" s="5">
        <v>-29901</v>
      </c>
      <c r="F3492" s="3" t="s">
        <v>417</v>
      </c>
      <c r="G3492" s="3" t="s">
        <v>20</v>
      </c>
      <c r="H3492" s="2" t="s">
        <v>36</v>
      </c>
      <c r="I3492" s="2" t="s">
        <v>8312</v>
      </c>
      <c r="J3492" s="3" t="str">
        <f>HYPERLINK("https://www.boe.es/gazeta/dias/1818/02/17/pdfs/GMD-1818-21.pdf#page=7","Abrir facsímil")</f>
        <v>Abrir facsímil</v>
      </c>
      <c r="K3492" s="3" t="s">
        <v>38</v>
      </c>
    </row>
    <row r="3493" spans="1:11" ht="42" customHeight="1">
      <c r="A3493" s="2" t="s">
        <v>8307</v>
      </c>
      <c r="B3493" s="2" t="s">
        <v>8308</v>
      </c>
      <c r="C3493" s="2" t="s">
        <v>26</v>
      </c>
      <c r="D3493" s="2" t="s">
        <v>27</v>
      </c>
      <c r="E3493" s="5">
        <v>-29803</v>
      </c>
      <c r="F3493" s="3" t="s">
        <v>1393</v>
      </c>
      <c r="G3493" s="3" t="s">
        <v>85</v>
      </c>
      <c r="H3493" s="2" t="s">
        <v>36</v>
      </c>
      <c r="I3493" s="2" t="s">
        <v>8313</v>
      </c>
      <c r="J3493" s="3" t="str">
        <f>HYPERLINK("https://www.boe.es/gazeta/dias/1818/05/26/pdfs/GMD-1818-63.pdf#page=3","Abrir facsímil")</f>
        <v>Abrir facsímil</v>
      </c>
      <c r="K3493" s="3" t="s">
        <v>38</v>
      </c>
    </row>
    <row r="3494" spans="1:11" ht="42" customHeight="1">
      <c r="A3494" s="2" t="s">
        <v>8314</v>
      </c>
      <c r="B3494" s="2" t="s">
        <v>8314</v>
      </c>
      <c r="C3494" s="2" t="s">
        <v>26</v>
      </c>
      <c r="D3494" s="2" t="s">
        <v>27</v>
      </c>
      <c r="E3494" s="5">
        <v>-29586</v>
      </c>
      <c r="F3494" s="3" t="s">
        <v>683</v>
      </c>
      <c r="G3494" s="3" t="s">
        <v>20</v>
      </c>
      <c r="H3494" s="2" t="s">
        <v>36</v>
      </c>
      <c r="I3494" s="2" t="s">
        <v>8315</v>
      </c>
      <c r="J3494" s="3" t="str">
        <f>HYPERLINK("https://www.boe.es/gazeta/dias/1818/12/29/pdfs/GMD-1818-158.pdf#page=7","Abrir facsímil")</f>
        <v>Abrir facsímil</v>
      </c>
      <c r="K3494" s="3" t="s">
        <v>38</v>
      </c>
    </row>
    <row r="3495" spans="1:11" ht="42" customHeight="1">
      <c r="A3495" s="2" t="s">
        <v>8316</v>
      </c>
      <c r="B3495" s="2" t="s">
        <v>8317</v>
      </c>
      <c r="C3495" s="2" t="s">
        <v>68</v>
      </c>
      <c r="D3495" s="2" t="s">
        <v>69</v>
      </c>
      <c r="E3495" s="5">
        <v>-29827</v>
      </c>
      <c r="F3495" s="3" t="s">
        <v>280</v>
      </c>
      <c r="G3495" s="3" t="s">
        <v>20</v>
      </c>
      <c r="H3495" s="2" t="s">
        <v>36</v>
      </c>
      <c r="I3495" s="2" t="s">
        <v>8318</v>
      </c>
      <c r="J3495" s="3" t="str">
        <f>HYPERLINK("https://www.boe.es/gazeta/dias/1818/05/02/pdfs/GMD-1818-53.pdf#page=7","Abrir facsímil")</f>
        <v>Abrir facsímil</v>
      </c>
      <c r="K3495" s="3" t="s">
        <v>38</v>
      </c>
    </row>
    <row r="3496" spans="1:11" ht="42" customHeight="1">
      <c r="A3496" s="2" t="s">
        <v>8319</v>
      </c>
      <c r="B3496" s="2" t="s">
        <v>8320</v>
      </c>
      <c r="C3496" s="2" t="s">
        <v>68</v>
      </c>
      <c r="D3496" s="2" t="s">
        <v>69</v>
      </c>
      <c r="E3496" s="5">
        <v>-29857</v>
      </c>
      <c r="F3496" s="3" t="s">
        <v>831</v>
      </c>
      <c r="G3496" s="3" t="s">
        <v>20</v>
      </c>
      <c r="H3496" s="2" t="s">
        <v>36</v>
      </c>
      <c r="I3496" s="2" t="s">
        <v>8321</v>
      </c>
      <c r="J3496" s="3" t="str">
        <f>HYPERLINK("https://www.boe.es/gazeta/dias/1818/04/02/pdfs/GMD-1818-40.pdf#page=7","Abrir facsímil")</f>
        <v>Abrir facsímil</v>
      </c>
      <c r="K3496" s="3" t="s">
        <v>38</v>
      </c>
    </row>
    <row r="3497" spans="1:11" ht="42" customHeight="1">
      <c r="A3497" s="2" t="s">
        <v>8322</v>
      </c>
      <c r="B3497" s="2" t="s">
        <v>8322</v>
      </c>
      <c r="C3497" s="2" t="s">
        <v>26</v>
      </c>
      <c r="D3497" s="2" t="s">
        <v>27</v>
      </c>
      <c r="E3497" s="5">
        <v>-29719</v>
      </c>
      <c r="F3497" s="3" t="s">
        <v>243</v>
      </c>
      <c r="G3497" s="3" t="s">
        <v>20</v>
      </c>
      <c r="H3497" s="2" t="s">
        <v>36</v>
      </c>
      <c r="I3497" s="2" t="s">
        <v>8323</v>
      </c>
      <c r="J3497" s="3" t="str">
        <f>HYPERLINK("https://www.boe.es/gazeta/dias/1818/08/18/pdfs/GMD-1818-99.pdf#page=7","Abrir facsímil")</f>
        <v>Abrir facsímil</v>
      </c>
      <c r="K3497" s="3" t="s">
        <v>38</v>
      </c>
    </row>
    <row r="3498" spans="1:11" ht="42" customHeight="1">
      <c r="A3498" s="2" t="s">
        <v>8324</v>
      </c>
      <c r="B3498" s="2" t="s">
        <v>8325</v>
      </c>
      <c r="C3498" s="2" t="s">
        <v>26</v>
      </c>
      <c r="D3498" s="2" t="s">
        <v>27</v>
      </c>
      <c r="E3498" s="5">
        <v>-29703</v>
      </c>
      <c r="F3498" s="3" t="s">
        <v>294</v>
      </c>
      <c r="G3498" s="3" t="s">
        <v>29</v>
      </c>
      <c r="H3498" s="2" t="s">
        <v>36</v>
      </c>
      <c r="I3498" s="2" t="s">
        <v>8326</v>
      </c>
      <c r="J3498" s="3" t="str">
        <f>HYPERLINK("https://www.boe.es/gazeta/dias/1818/09/03/pdfs/GMD-1818-106.pdf#page=4","Abrir facsímil")</f>
        <v>Abrir facsímil</v>
      </c>
      <c r="K3498" s="3" t="s">
        <v>38</v>
      </c>
    </row>
    <row r="3499" spans="1:11" ht="42" customHeight="1">
      <c r="A3499" s="2" t="s">
        <v>8327</v>
      </c>
      <c r="B3499" s="2" t="s">
        <v>8328</v>
      </c>
      <c r="C3499" s="2" t="s">
        <v>68</v>
      </c>
      <c r="D3499" s="2" t="s">
        <v>69</v>
      </c>
      <c r="E3499" s="5">
        <v>-29915</v>
      </c>
      <c r="F3499" s="3" t="s">
        <v>429</v>
      </c>
      <c r="G3499" s="3" t="s">
        <v>45</v>
      </c>
      <c r="H3499" s="2" t="s">
        <v>36</v>
      </c>
      <c r="I3499" s="2" t="s">
        <v>8329</v>
      </c>
      <c r="J3499" s="3" t="str">
        <f>HYPERLINK("https://www.boe.es/gazeta/dias/1818/02/03/pdfs/GMD-1818-15.pdf#page=8","Abrir facsímil")</f>
        <v>Abrir facsímil</v>
      </c>
      <c r="K3499" s="3" t="s">
        <v>38</v>
      </c>
    </row>
    <row r="3500" spans="1:11" ht="42" customHeight="1">
      <c r="A3500" s="2" t="s">
        <v>8330</v>
      </c>
      <c r="B3500" s="2" t="s">
        <v>8331</v>
      </c>
      <c r="C3500" s="2" t="s">
        <v>26</v>
      </c>
      <c r="D3500" s="2" t="s">
        <v>27</v>
      </c>
      <c r="E3500" s="5">
        <v>-29703</v>
      </c>
      <c r="F3500" s="3" t="s">
        <v>294</v>
      </c>
      <c r="G3500" s="3" t="s">
        <v>295</v>
      </c>
      <c r="H3500" s="2" t="s">
        <v>36</v>
      </c>
      <c r="I3500" s="2" t="s">
        <v>8332</v>
      </c>
      <c r="J3500" s="3" t="str">
        <f>HYPERLINK("https://www.boe.es/gazeta/dias/1818/09/03/pdfs/GMD-1818-106.pdf#page=5","Abrir facsímil")</f>
        <v>Abrir facsímil</v>
      </c>
      <c r="K3500" s="3" t="s">
        <v>38</v>
      </c>
    </row>
    <row r="3501" spans="1:11" ht="42" customHeight="1">
      <c r="A3501" s="2" t="s">
        <v>8333</v>
      </c>
      <c r="B3501" s="2" t="s">
        <v>8334</v>
      </c>
      <c r="C3501" s="2" t="s">
        <v>26</v>
      </c>
      <c r="D3501" s="2" t="s">
        <v>27</v>
      </c>
      <c r="E3501" s="5">
        <v>-29715</v>
      </c>
      <c r="F3501" s="3" t="s">
        <v>208</v>
      </c>
      <c r="G3501" s="3" t="s">
        <v>29</v>
      </c>
      <c r="H3501" s="2" t="s">
        <v>36</v>
      </c>
      <c r="I3501" s="2" t="s">
        <v>8335</v>
      </c>
      <c r="J3501" s="3" t="str">
        <f>HYPERLINK("https://www.boe.es/gazeta/dias/1818/08/22/pdfs/GMD-1818-101.pdf#page=4","Abrir facsímil")</f>
        <v>Abrir facsímil</v>
      </c>
      <c r="K3501" s="3" t="s">
        <v>38</v>
      </c>
    </row>
    <row r="3502" spans="1:11" ht="42" customHeight="1">
      <c r="A3502" s="2" t="s">
        <v>8333</v>
      </c>
      <c r="B3502" s="2" t="s">
        <v>8334</v>
      </c>
      <c r="C3502" s="2" t="s">
        <v>17</v>
      </c>
      <c r="D3502" s="2" t="s">
        <v>18</v>
      </c>
      <c r="E3502" s="5">
        <v>-29715</v>
      </c>
      <c r="F3502" s="3" t="s">
        <v>208</v>
      </c>
      <c r="G3502" s="3" t="s">
        <v>106</v>
      </c>
      <c r="H3502" s="2" t="s">
        <v>36</v>
      </c>
      <c r="I3502" s="2" t="s">
        <v>8336</v>
      </c>
      <c r="J3502" s="3" t="str">
        <f>HYPERLINK("https://www.boe.es/gazeta/dias/1818/08/22/pdfs/GMD-1818-101.pdf#page=5","Abrir facsímil")</f>
        <v>Abrir facsímil</v>
      </c>
      <c r="K3502" s="3" t="s">
        <v>38</v>
      </c>
    </row>
    <row r="3503" spans="1:11" ht="42" customHeight="1">
      <c r="A3503" s="2" t="s">
        <v>8333</v>
      </c>
      <c r="B3503" s="2" t="s">
        <v>8334</v>
      </c>
      <c r="C3503" s="2" t="s">
        <v>17</v>
      </c>
      <c r="D3503" s="2" t="s">
        <v>18</v>
      </c>
      <c r="E3503" s="5">
        <v>-29605</v>
      </c>
      <c r="F3503" s="3" t="s">
        <v>888</v>
      </c>
      <c r="G3503" s="3" t="s">
        <v>889</v>
      </c>
      <c r="H3503" s="2" t="s">
        <v>36</v>
      </c>
      <c r="I3503" s="2" t="s">
        <v>8337</v>
      </c>
      <c r="J3503" s="3" t="str">
        <f>HYPERLINK("https://www.boe.es/gazeta/dias/1818/12/10/pdfs/GMD-1818-149.pdf#page=6","Abrir facsímil")</f>
        <v>Abrir facsímil</v>
      </c>
      <c r="K3503" s="3" t="s">
        <v>38</v>
      </c>
    </row>
    <row r="3504" spans="1:11" ht="42" customHeight="1">
      <c r="A3504" s="2" t="s">
        <v>8333</v>
      </c>
      <c r="B3504" s="2" t="s">
        <v>8334</v>
      </c>
      <c r="C3504" s="2" t="s">
        <v>17</v>
      </c>
      <c r="D3504" s="2" t="s">
        <v>18</v>
      </c>
      <c r="E3504" s="5">
        <v>-29605</v>
      </c>
      <c r="F3504" s="3" t="s">
        <v>888</v>
      </c>
      <c r="G3504" s="3" t="s">
        <v>106</v>
      </c>
      <c r="H3504" s="2" t="s">
        <v>36</v>
      </c>
      <c r="I3504" s="2" t="s">
        <v>8338</v>
      </c>
      <c r="J3504" s="3" t="str">
        <f>HYPERLINK("https://www.boe.es/gazeta/dias/1818/12/10/pdfs/GMD-1818-149.pdf#page=5","Abrir facsímil")</f>
        <v>Abrir facsímil</v>
      </c>
      <c r="K3504" s="3" t="s">
        <v>38</v>
      </c>
    </row>
    <row r="3505" spans="1:11" ht="42" customHeight="1">
      <c r="A3505" s="2" t="s">
        <v>8333</v>
      </c>
      <c r="B3505" s="2" t="s">
        <v>8334</v>
      </c>
      <c r="C3505" s="2" t="s">
        <v>26</v>
      </c>
      <c r="D3505" s="2" t="s">
        <v>27</v>
      </c>
      <c r="E3505" s="5">
        <v>-29596</v>
      </c>
      <c r="F3505" s="3" t="s">
        <v>555</v>
      </c>
      <c r="G3505" s="3" t="s">
        <v>59</v>
      </c>
      <c r="H3505" s="2" t="s">
        <v>36</v>
      </c>
      <c r="I3505" s="2" t="s">
        <v>8339</v>
      </c>
      <c r="J3505" s="3" t="str">
        <f>HYPERLINK("https://www.boe.es/gazeta/dias/1818/12/19/pdfs/GMD-1818-153.pdf#page=6","Abrir facsímil")</f>
        <v>Abrir facsímil</v>
      </c>
      <c r="K3505" s="3" t="s">
        <v>38</v>
      </c>
    </row>
    <row r="3506" spans="1:11" ht="42" customHeight="1">
      <c r="A3506" s="2" t="s">
        <v>8340</v>
      </c>
      <c r="B3506" s="2" t="s">
        <v>8341</v>
      </c>
      <c r="C3506" s="2" t="s">
        <v>26</v>
      </c>
      <c r="D3506" s="2" t="s">
        <v>27</v>
      </c>
      <c r="E3506" s="5">
        <v>-29719</v>
      </c>
      <c r="F3506" s="3" t="s">
        <v>243</v>
      </c>
      <c r="G3506" s="3" t="s">
        <v>59</v>
      </c>
      <c r="H3506" s="2" t="s">
        <v>36</v>
      </c>
      <c r="I3506" s="2" t="s">
        <v>8342</v>
      </c>
      <c r="J3506" s="3" t="str">
        <f>HYPERLINK("https://www.boe.es/gazeta/dias/1818/08/18/pdfs/GMD-1818-99.pdf#page=6","Abrir facsímil")</f>
        <v>Abrir facsímil</v>
      </c>
      <c r="K3506" s="3" t="s">
        <v>38</v>
      </c>
    </row>
    <row r="3507" spans="1:11" ht="42" customHeight="1">
      <c r="A3507" s="2" t="s">
        <v>8343</v>
      </c>
      <c r="B3507" s="2" t="s">
        <v>8344</v>
      </c>
      <c r="C3507" s="2" t="s">
        <v>26</v>
      </c>
      <c r="D3507" s="2" t="s">
        <v>27</v>
      </c>
      <c r="E3507" s="5">
        <v>-29876</v>
      </c>
      <c r="F3507" s="3" t="s">
        <v>338</v>
      </c>
      <c r="G3507" s="3" t="s">
        <v>339</v>
      </c>
      <c r="H3507" s="2" t="s">
        <v>21</v>
      </c>
      <c r="I3507" s="2" t="s">
        <v>8345</v>
      </c>
      <c r="J3507" s="3" t="str">
        <f>HYPERLINK("https://www.boe.es/gazeta/dias/1818/03/14/pdfs/GMD-1818-32.pdf#page=8","Abrir facsímil")</f>
        <v>Abrir facsímil</v>
      </c>
      <c r="K3507" s="3" t="s">
        <v>23</v>
      </c>
    </row>
    <row r="3508" spans="1:11" ht="42" customHeight="1">
      <c r="A3508" s="2" t="s">
        <v>8346</v>
      </c>
      <c r="B3508" s="2" t="s">
        <v>8347</v>
      </c>
      <c r="C3508" s="2" t="s">
        <v>26</v>
      </c>
      <c r="D3508" s="2" t="s">
        <v>27</v>
      </c>
      <c r="E3508" s="5">
        <v>-29598</v>
      </c>
      <c r="F3508" s="3" t="s">
        <v>98</v>
      </c>
      <c r="G3508" s="3" t="s">
        <v>106</v>
      </c>
      <c r="H3508" s="2" t="s">
        <v>36</v>
      </c>
      <c r="I3508" s="2" t="s">
        <v>8348</v>
      </c>
      <c r="J3508" s="3" t="str">
        <f>HYPERLINK("https://www.boe.es/gazeta/dias/1818/12/17/pdfs/GMD-1818-152.pdf#page=5","Abrir facsímil")</f>
        <v>Abrir facsímil</v>
      </c>
      <c r="K3508" s="3" t="s">
        <v>38</v>
      </c>
    </row>
    <row r="3509" spans="1:11" ht="42" customHeight="1">
      <c r="A3509" s="2" t="s">
        <v>8349</v>
      </c>
      <c r="B3509" s="2" t="s">
        <v>8350</v>
      </c>
      <c r="C3509" s="2" t="s">
        <v>63</v>
      </c>
      <c r="D3509" s="2" t="s">
        <v>18</v>
      </c>
      <c r="E3509" s="5">
        <v>-29701</v>
      </c>
      <c r="F3509" s="3" t="s">
        <v>596</v>
      </c>
      <c r="G3509" s="3" t="s">
        <v>59</v>
      </c>
      <c r="H3509" s="2" t="s">
        <v>36</v>
      </c>
      <c r="I3509" s="2" t="s">
        <v>8351</v>
      </c>
      <c r="J3509" s="3" t="str">
        <f>HYPERLINK("https://www.boe.es/gazeta/dias/1818/09/05/pdfs/GMD-1818-107.pdf#page=6","Abrir facsímil")</f>
        <v>Abrir facsímil</v>
      </c>
      <c r="K3509" s="3" t="s">
        <v>38</v>
      </c>
    </row>
    <row r="3510" spans="1:11" ht="42" customHeight="1">
      <c r="A3510" s="2" t="s">
        <v>8352</v>
      </c>
      <c r="B3510" s="2" t="s">
        <v>8353</v>
      </c>
      <c r="C3510" s="2" t="s">
        <v>17</v>
      </c>
      <c r="D3510" s="2" t="s">
        <v>18</v>
      </c>
      <c r="E3510" s="5">
        <v>-29757</v>
      </c>
      <c r="F3510" s="3" t="s">
        <v>115</v>
      </c>
      <c r="G3510" s="3" t="s">
        <v>59</v>
      </c>
      <c r="H3510" s="2" t="s">
        <v>36</v>
      </c>
      <c r="I3510" s="2" t="s">
        <v>8354</v>
      </c>
      <c r="J3510" s="3" t="str">
        <f>HYPERLINK("https://www.boe.es/gazeta/dias/1818/07/11/pdfs/GMD-1818-83.pdf#page=6","Abrir facsímil")</f>
        <v>Abrir facsímil</v>
      </c>
      <c r="K3510" s="3" t="s">
        <v>38</v>
      </c>
    </row>
    <row r="3511" spans="1:11" ht="42" customHeight="1">
      <c r="A3511" s="2" t="s">
        <v>8352</v>
      </c>
      <c r="B3511" s="2" t="s">
        <v>8353</v>
      </c>
      <c r="C3511" s="2" t="s">
        <v>17</v>
      </c>
      <c r="D3511" s="2" t="s">
        <v>18</v>
      </c>
      <c r="E3511" s="5">
        <v>-29757</v>
      </c>
      <c r="F3511" s="3" t="s">
        <v>115</v>
      </c>
      <c r="G3511" s="3" t="s">
        <v>20</v>
      </c>
      <c r="H3511" s="2" t="s">
        <v>36</v>
      </c>
      <c r="I3511" s="2" t="s">
        <v>8355</v>
      </c>
      <c r="J3511" s="3" t="str">
        <f>HYPERLINK("https://www.boe.es/gazeta/dias/1818/07/11/pdfs/GMD-1818-83.pdf#page=7","Abrir facsímil")</f>
        <v>Abrir facsímil</v>
      </c>
      <c r="K3511" s="3" t="s">
        <v>38</v>
      </c>
    </row>
    <row r="3512" spans="1:11" ht="42" customHeight="1">
      <c r="A3512" s="2" t="s">
        <v>8356</v>
      </c>
      <c r="B3512" s="2" t="s">
        <v>8356</v>
      </c>
      <c r="C3512" s="2" t="s">
        <v>26</v>
      </c>
      <c r="D3512" s="2" t="s">
        <v>27</v>
      </c>
      <c r="E3512" s="5">
        <v>-29670</v>
      </c>
      <c r="F3512" s="3" t="s">
        <v>48</v>
      </c>
      <c r="G3512" s="3" t="s">
        <v>106</v>
      </c>
      <c r="H3512" s="2" t="s">
        <v>36</v>
      </c>
      <c r="I3512" s="2" t="s">
        <v>8357</v>
      </c>
      <c r="J3512" s="3" t="str">
        <f>HYPERLINK("https://www.boe.es/gazeta/dias/1818/10/06/pdfs/GMD-1818-120.pdf#page=5","Abrir facsímil")</f>
        <v>Abrir facsímil</v>
      </c>
      <c r="K3512" s="3" t="s">
        <v>38</v>
      </c>
    </row>
    <row r="3513" spans="1:11" ht="42" customHeight="1">
      <c r="A3513" s="2" t="s">
        <v>8358</v>
      </c>
      <c r="B3513" s="2" t="s">
        <v>8358</v>
      </c>
      <c r="C3513" s="2" t="s">
        <v>26</v>
      </c>
      <c r="D3513" s="2" t="s">
        <v>27</v>
      </c>
      <c r="E3513" s="5">
        <v>-29703</v>
      </c>
      <c r="F3513" s="3" t="s">
        <v>294</v>
      </c>
      <c r="G3513" s="3" t="s">
        <v>295</v>
      </c>
      <c r="H3513" s="2" t="s">
        <v>36</v>
      </c>
      <c r="I3513" s="2" t="s">
        <v>8359</v>
      </c>
      <c r="J3513" s="3" t="str">
        <f>HYPERLINK("https://www.boe.es/gazeta/dias/1818/09/03/pdfs/GMD-1818-106.pdf#page=5","Abrir facsímil")</f>
        <v>Abrir facsímil</v>
      </c>
      <c r="K3513" s="3" t="s">
        <v>38</v>
      </c>
    </row>
    <row r="3514" spans="1:11" ht="42" customHeight="1">
      <c r="A3514" s="2" t="s">
        <v>8360</v>
      </c>
      <c r="B3514" s="2" t="s">
        <v>8360</v>
      </c>
      <c r="C3514" s="2" t="s">
        <v>97</v>
      </c>
      <c r="D3514" s="2" t="s">
        <v>18</v>
      </c>
      <c r="E3514" s="5">
        <v>-29897</v>
      </c>
      <c r="F3514" s="3" t="s">
        <v>318</v>
      </c>
      <c r="G3514" s="3" t="s">
        <v>45</v>
      </c>
      <c r="H3514" s="2" t="s">
        <v>36</v>
      </c>
      <c r="I3514" s="2" t="s">
        <v>8361</v>
      </c>
      <c r="J3514" s="3" t="str">
        <f>HYPERLINK("https://www.boe.es/gazeta/dias/1818/02/21/pdfs/GMD-1818-23.pdf#page=8","Abrir facsímil")</f>
        <v>Abrir facsímil</v>
      </c>
      <c r="K3514" s="3" t="s">
        <v>38</v>
      </c>
    </row>
    <row r="3515" spans="1:11" ht="42" customHeight="1">
      <c r="A3515" s="2" t="s">
        <v>8360</v>
      </c>
      <c r="B3515" s="2" t="s">
        <v>8360</v>
      </c>
      <c r="C3515" s="2" t="s">
        <v>26</v>
      </c>
      <c r="D3515" s="2" t="s">
        <v>27</v>
      </c>
      <c r="E3515" s="5">
        <v>-29890</v>
      </c>
      <c r="F3515" s="3" t="s">
        <v>393</v>
      </c>
      <c r="G3515" s="3" t="s">
        <v>1096</v>
      </c>
      <c r="H3515" s="2" t="s">
        <v>36</v>
      </c>
      <c r="I3515" s="2" t="s">
        <v>8362</v>
      </c>
      <c r="J3515" s="3" t="str">
        <f>HYPERLINK("https://www.boe.es/gazeta/dias/1818/02/28/pdfs/GMD-1818-26.pdf#page=6","Abrir facsímil")</f>
        <v>Abrir facsímil</v>
      </c>
      <c r="K3515" s="3" t="s">
        <v>38</v>
      </c>
    </row>
    <row r="3516" spans="1:11" ht="42" customHeight="1">
      <c r="A3516" s="2" t="s">
        <v>8360</v>
      </c>
      <c r="B3516" s="2" t="s">
        <v>8360</v>
      </c>
      <c r="C3516" s="2" t="s">
        <v>26</v>
      </c>
      <c r="D3516" s="2" t="s">
        <v>27</v>
      </c>
      <c r="E3516" s="5">
        <v>-29677</v>
      </c>
      <c r="F3516" s="3" t="s">
        <v>157</v>
      </c>
      <c r="G3516" s="3" t="s">
        <v>106</v>
      </c>
      <c r="H3516" s="2" t="s">
        <v>36</v>
      </c>
      <c r="I3516" s="2" t="s">
        <v>8363</v>
      </c>
      <c r="J3516" s="3" t="str">
        <f>HYPERLINK("https://www.boe.es/gazeta/dias/1818/09/29/pdfs/GMD-1818-117.pdf#page=5","Abrir facsímil")</f>
        <v>Abrir facsímil</v>
      </c>
      <c r="K3516" s="3" t="s">
        <v>38</v>
      </c>
    </row>
    <row r="3517" spans="1:11" ht="42" customHeight="1">
      <c r="A3517" s="2" t="s">
        <v>8364</v>
      </c>
      <c r="B3517" s="2" t="s">
        <v>8364</v>
      </c>
      <c r="C3517" s="2" t="s">
        <v>17</v>
      </c>
      <c r="D3517" s="2" t="s">
        <v>18</v>
      </c>
      <c r="E3517" s="5">
        <v>-29750</v>
      </c>
      <c r="F3517" s="3" t="s">
        <v>384</v>
      </c>
      <c r="G3517" s="3" t="s">
        <v>116</v>
      </c>
      <c r="H3517" s="2" t="s">
        <v>36</v>
      </c>
      <c r="I3517" s="2" t="s">
        <v>8365</v>
      </c>
      <c r="J3517" s="3" t="str">
        <f>HYPERLINK("https://www.boe.es/gazeta/dias/1818/07/18/pdfs/GMD-1818-86.pdf#page=12","Abrir facsímil")</f>
        <v>Abrir facsímil</v>
      </c>
      <c r="K3517" s="3" t="s">
        <v>38</v>
      </c>
    </row>
    <row r="3518" spans="1:11" ht="42" customHeight="1">
      <c r="A3518" s="2" t="s">
        <v>8366</v>
      </c>
      <c r="B3518" s="2" t="s">
        <v>8366</v>
      </c>
      <c r="C3518" s="2" t="s">
        <v>26</v>
      </c>
      <c r="D3518" s="2" t="s">
        <v>27</v>
      </c>
      <c r="E3518" s="5">
        <v>-29869</v>
      </c>
      <c r="F3518" s="3" t="s">
        <v>140</v>
      </c>
      <c r="G3518" s="3" t="s">
        <v>106</v>
      </c>
      <c r="H3518" s="2" t="s">
        <v>36</v>
      </c>
      <c r="I3518" s="2" t="s">
        <v>8367</v>
      </c>
      <c r="J3518" s="3" t="str">
        <f>HYPERLINK("https://www.boe.es/gazeta/dias/1818/03/21/pdfs/GMD-1818-35.pdf#page=5","Abrir facsímil")</f>
        <v>Abrir facsímil</v>
      </c>
      <c r="K3518" s="3" t="s">
        <v>38</v>
      </c>
    </row>
    <row r="3519" spans="1:11" ht="42" customHeight="1">
      <c r="A3519" s="2" t="s">
        <v>8368</v>
      </c>
      <c r="B3519" s="2" t="s">
        <v>8369</v>
      </c>
      <c r="C3519" s="2" t="s">
        <v>26</v>
      </c>
      <c r="D3519" s="2" t="s">
        <v>27</v>
      </c>
      <c r="E3519" s="5">
        <v>-29922</v>
      </c>
      <c r="F3519" s="3" t="s">
        <v>174</v>
      </c>
      <c r="G3519" s="3" t="s">
        <v>20</v>
      </c>
      <c r="H3519" s="2" t="s">
        <v>36</v>
      </c>
      <c r="I3519" s="2" t="s">
        <v>8370</v>
      </c>
      <c r="J3519" s="3" t="str">
        <f>HYPERLINK("https://www.boe.es/gazeta/dias/1818/01/27/pdfs/GMD-1818-12.pdf#page=7","Abrir facsímil")</f>
        <v>Abrir facsímil</v>
      </c>
      <c r="K3519" s="3" t="s">
        <v>38</v>
      </c>
    </row>
    <row r="3520" spans="1:11" ht="42" customHeight="1">
      <c r="A3520" s="2" t="s">
        <v>8368</v>
      </c>
      <c r="B3520" s="2" t="s">
        <v>8369</v>
      </c>
      <c r="C3520" s="2" t="s">
        <v>26</v>
      </c>
      <c r="D3520" s="2" t="s">
        <v>27</v>
      </c>
      <c r="E3520" s="5">
        <v>-29922</v>
      </c>
      <c r="F3520" s="3" t="s">
        <v>174</v>
      </c>
      <c r="G3520" s="3" t="s">
        <v>45</v>
      </c>
      <c r="H3520" s="2" t="s">
        <v>36</v>
      </c>
      <c r="I3520" s="2" t="s">
        <v>8371</v>
      </c>
      <c r="J3520" s="3" t="str">
        <f>HYPERLINK("https://www.boe.es/gazeta/dias/1818/01/27/pdfs/GMD-1818-12.pdf#page=8","Abrir facsímil")</f>
        <v>Abrir facsímil</v>
      </c>
      <c r="K3520" s="3" t="s">
        <v>38</v>
      </c>
    </row>
    <row r="3521" spans="1:11" ht="42" customHeight="1">
      <c r="A3521" s="2" t="s">
        <v>8368</v>
      </c>
      <c r="B3521" s="2" t="s">
        <v>8369</v>
      </c>
      <c r="C3521" s="2" t="s">
        <v>26</v>
      </c>
      <c r="D3521" s="2" t="s">
        <v>27</v>
      </c>
      <c r="E3521" s="5">
        <v>-29703</v>
      </c>
      <c r="F3521" s="3" t="s">
        <v>294</v>
      </c>
      <c r="G3521" s="3" t="s">
        <v>29</v>
      </c>
      <c r="H3521" s="2" t="s">
        <v>36</v>
      </c>
      <c r="I3521" s="2" t="s">
        <v>8372</v>
      </c>
      <c r="J3521" s="3" t="str">
        <f>HYPERLINK("https://www.boe.es/gazeta/dias/1818/09/03/pdfs/GMD-1818-106.pdf#page=4","Abrir facsímil")</f>
        <v>Abrir facsímil</v>
      </c>
      <c r="K3521" s="3" t="s">
        <v>38</v>
      </c>
    </row>
    <row r="3522" spans="1:11" ht="42" customHeight="1">
      <c r="A3522" s="2" t="s">
        <v>8373</v>
      </c>
      <c r="B3522" s="2" t="s">
        <v>8374</v>
      </c>
      <c r="C3522" s="2" t="s">
        <v>57</v>
      </c>
      <c r="D3522" s="2" t="s">
        <v>18</v>
      </c>
      <c r="E3522" s="5">
        <v>-29689</v>
      </c>
      <c r="F3522" s="3" t="s">
        <v>303</v>
      </c>
      <c r="G3522" s="3" t="s">
        <v>20</v>
      </c>
      <c r="H3522" s="2" t="s">
        <v>36</v>
      </c>
      <c r="I3522" s="2" t="s">
        <v>8375</v>
      </c>
      <c r="J3522" s="3" t="str">
        <f>HYPERLINK("https://www.boe.es/gazeta/dias/1818/09/17/pdfs/GMD-1818-112.pdf#page=7","Abrir facsímil")</f>
        <v>Abrir facsímil</v>
      </c>
      <c r="K3522" s="3" t="s">
        <v>38</v>
      </c>
    </row>
    <row r="3523" spans="1:11" ht="42" customHeight="1">
      <c r="A3523" s="2" t="s">
        <v>8376</v>
      </c>
      <c r="B3523" s="2" t="s">
        <v>8377</v>
      </c>
      <c r="C3523" s="2" t="s">
        <v>26</v>
      </c>
      <c r="D3523" s="2" t="s">
        <v>27</v>
      </c>
      <c r="E3523" s="5">
        <v>-29703</v>
      </c>
      <c r="F3523" s="3" t="s">
        <v>294</v>
      </c>
      <c r="G3523" s="3" t="s">
        <v>29</v>
      </c>
      <c r="H3523" s="2" t="s">
        <v>36</v>
      </c>
      <c r="I3523" s="2" t="s">
        <v>8378</v>
      </c>
      <c r="J3523" s="3" t="str">
        <f>HYPERLINK("https://www.boe.es/gazeta/dias/1818/09/03/pdfs/GMD-1818-106.pdf#page=4","Abrir facsímil")</f>
        <v>Abrir facsímil</v>
      </c>
      <c r="K3523" s="3" t="s">
        <v>38</v>
      </c>
    </row>
    <row r="3524" spans="1:11" ht="42" customHeight="1">
      <c r="A3524" s="2" t="s">
        <v>8379</v>
      </c>
      <c r="B3524" s="2" t="s">
        <v>8380</v>
      </c>
      <c r="C3524" s="2" t="s">
        <v>26</v>
      </c>
      <c r="D3524" s="2" t="s">
        <v>27</v>
      </c>
      <c r="E3524" s="5">
        <v>-29911</v>
      </c>
      <c r="F3524" s="3" t="s">
        <v>509</v>
      </c>
      <c r="G3524" s="3" t="s">
        <v>20</v>
      </c>
      <c r="H3524" s="2" t="s">
        <v>36</v>
      </c>
      <c r="I3524" s="2" t="s">
        <v>8381</v>
      </c>
      <c r="J3524" s="3" t="str">
        <f>HYPERLINK("https://www.boe.es/gazeta/dias/1818/02/07/pdfs/GMD-1818-17.pdf#page=7","Abrir facsímil")</f>
        <v>Abrir facsímil</v>
      </c>
      <c r="K3524" s="3" t="s">
        <v>38</v>
      </c>
    </row>
    <row r="3525" spans="1:11" ht="42" customHeight="1">
      <c r="A3525" s="2" t="s">
        <v>8382</v>
      </c>
      <c r="B3525" s="2" t="s">
        <v>8383</v>
      </c>
      <c r="C3525" s="2" t="s">
        <v>63</v>
      </c>
      <c r="D3525" s="2" t="s">
        <v>18</v>
      </c>
      <c r="E3525" s="5">
        <v>-29698</v>
      </c>
      <c r="F3525" s="3" t="s">
        <v>148</v>
      </c>
      <c r="G3525" s="3" t="s">
        <v>20</v>
      </c>
      <c r="H3525" s="2" t="s">
        <v>36</v>
      </c>
      <c r="I3525" s="2" t="s">
        <v>8384</v>
      </c>
      <c r="J3525" s="3" t="str">
        <f>HYPERLINK("https://www.boe.es/gazeta/dias/1818/09/08/pdfs/GMD-1818-108.pdf#page=7","Abrir facsímil")</f>
        <v>Abrir facsímil</v>
      </c>
      <c r="K3525" s="3" t="s">
        <v>38</v>
      </c>
    </row>
    <row r="3526" spans="1:11" ht="42" customHeight="1">
      <c r="A3526" s="2" t="s">
        <v>8385</v>
      </c>
      <c r="B3526" s="2" t="s">
        <v>8386</v>
      </c>
      <c r="C3526" s="2" t="s">
        <v>26</v>
      </c>
      <c r="D3526" s="2" t="s">
        <v>27</v>
      </c>
      <c r="E3526" s="5">
        <v>-29722</v>
      </c>
      <c r="F3526" s="3" t="s">
        <v>1127</v>
      </c>
      <c r="G3526" s="3" t="s">
        <v>45</v>
      </c>
      <c r="H3526" s="2" t="s">
        <v>36</v>
      </c>
      <c r="I3526" s="2" t="s">
        <v>8387</v>
      </c>
      <c r="J3526" s="3" t="str">
        <f>HYPERLINK("https://www.boe.es/gazeta/dias/1818/08/15/pdfs/GMD-1818-98.pdf#page=8","Abrir facsímil")</f>
        <v>Abrir facsímil</v>
      </c>
      <c r="K3526" s="3" t="s">
        <v>38</v>
      </c>
    </row>
    <row r="3527" spans="1:11" ht="42" customHeight="1">
      <c r="A3527" s="2" t="s">
        <v>8388</v>
      </c>
      <c r="B3527" s="2" t="s">
        <v>8389</v>
      </c>
      <c r="C3527" s="2" t="s">
        <v>26</v>
      </c>
      <c r="D3527" s="2" t="s">
        <v>27</v>
      </c>
      <c r="E3527" s="5">
        <v>-29726</v>
      </c>
      <c r="F3527" s="3" t="s">
        <v>70</v>
      </c>
      <c r="G3527" s="3" t="s">
        <v>106</v>
      </c>
      <c r="H3527" s="2" t="s">
        <v>36</v>
      </c>
      <c r="I3527" s="2" t="s">
        <v>8390</v>
      </c>
      <c r="J3527" s="3" t="str">
        <f>HYPERLINK("https://www.boe.es/gazeta/dias/1818/08/11/pdfs/GMD-1818-96.pdf#page=5","Abrir facsímil")</f>
        <v>Abrir facsímil</v>
      </c>
      <c r="K3527" s="3" t="s">
        <v>38</v>
      </c>
    </row>
    <row r="3528" spans="1:11" ht="42" customHeight="1">
      <c r="A3528" s="2" t="s">
        <v>8391</v>
      </c>
      <c r="B3528" s="2" t="s">
        <v>8392</v>
      </c>
      <c r="C3528" s="2" t="s">
        <v>63</v>
      </c>
      <c r="D3528" s="2" t="s">
        <v>18</v>
      </c>
      <c r="E3528" s="5">
        <v>-29698</v>
      </c>
      <c r="F3528" s="3" t="s">
        <v>148</v>
      </c>
      <c r="G3528" s="3" t="s">
        <v>20</v>
      </c>
      <c r="H3528" s="2" t="s">
        <v>36</v>
      </c>
      <c r="I3528" s="2" t="s">
        <v>8393</v>
      </c>
      <c r="J3528" s="3" t="str">
        <f>HYPERLINK("https://www.boe.es/gazeta/dias/1818/09/08/pdfs/GMD-1818-108.pdf#page=7","Abrir facsímil")</f>
        <v>Abrir facsímil</v>
      </c>
      <c r="K3528" s="3" t="s">
        <v>38</v>
      </c>
    </row>
    <row r="3529" spans="1:11" ht="42" customHeight="1">
      <c r="A3529" s="2" t="s">
        <v>8394</v>
      </c>
      <c r="B3529" s="2" t="s">
        <v>8395</v>
      </c>
      <c r="C3529" s="2" t="s">
        <v>17</v>
      </c>
      <c r="D3529" s="2" t="s">
        <v>18</v>
      </c>
      <c r="E3529" s="5">
        <v>-29698</v>
      </c>
      <c r="F3529" s="3" t="s">
        <v>148</v>
      </c>
      <c r="G3529" s="3" t="s">
        <v>29</v>
      </c>
      <c r="H3529" s="2" t="s">
        <v>36</v>
      </c>
      <c r="I3529" s="2" t="s">
        <v>8396</v>
      </c>
      <c r="J3529" s="3" t="str">
        <f>HYPERLINK("https://www.boe.es/gazeta/dias/1818/09/08/pdfs/GMD-1818-108.pdf#page=4","Abrir facsímil")</f>
        <v>Abrir facsímil</v>
      </c>
      <c r="K3529" s="3" t="s">
        <v>38</v>
      </c>
    </row>
    <row r="3530" spans="1:11" ht="42" customHeight="1">
      <c r="A3530" s="2" t="s">
        <v>8397</v>
      </c>
      <c r="B3530" s="2" t="s">
        <v>8398</v>
      </c>
      <c r="C3530" s="2" t="s">
        <v>68</v>
      </c>
      <c r="D3530" s="2" t="s">
        <v>69</v>
      </c>
      <c r="E3530" s="5">
        <v>-29939</v>
      </c>
      <c r="F3530" s="3" t="s">
        <v>110</v>
      </c>
      <c r="G3530" s="3" t="s">
        <v>116</v>
      </c>
      <c r="H3530" s="2" t="s">
        <v>36</v>
      </c>
      <c r="I3530" s="2" t="s">
        <v>8399</v>
      </c>
      <c r="J3530" s="3" t="str">
        <f>HYPERLINK("https://www.boe.es/gazeta/dias/1818/01/10/pdfs/GMD-1818-5.pdf#page=12","Abrir facsímil")</f>
        <v>Abrir facsímil</v>
      </c>
      <c r="K3530" s="3" t="s">
        <v>38</v>
      </c>
    </row>
    <row r="3531" spans="1:11" ht="42" customHeight="1">
      <c r="A3531" s="2" t="s">
        <v>8397</v>
      </c>
      <c r="B3531" s="2" t="s">
        <v>8398</v>
      </c>
      <c r="C3531" s="2" t="s">
        <v>68</v>
      </c>
      <c r="D3531" s="2" t="s">
        <v>69</v>
      </c>
      <c r="E3531" s="5">
        <v>-29936</v>
      </c>
      <c r="F3531" s="3" t="s">
        <v>398</v>
      </c>
      <c r="G3531" s="3" t="s">
        <v>45</v>
      </c>
      <c r="H3531" s="2" t="s">
        <v>36</v>
      </c>
      <c r="I3531" s="2" t="s">
        <v>8400</v>
      </c>
      <c r="J3531" s="3" t="str">
        <f>HYPERLINK("https://www.boe.es/gazeta/dias/1818/01/13/pdfs/GMD-1818-6.pdf#page=8","Abrir facsímil")</f>
        <v>Abrir facsímil</v>
      </c>
      <c r="K3531" s="3" t="s">
        <v>38</v>
      </c>
    </row>
    <row r="3532" spans="1:11" ht="42" customHeight="1">
      <c r="A3532" s="2" t="s">
        <v>8397</v>
      </c>
      <c r="B3532" s="2" t="s">
        <v>8398</v>
      </c>
      <c r="C3532" s="2" t="s">
        <v>17</v>
      </c>
      <c r="D3532" s="2" t="s">
        <v>18</v>
      </c>
      <c r="E3532" s="5">
        <v>-29801</v>
      </c>
      <c r="F3532" s="3" t="s">
        <v>288</v>
      </c>
      <c r="G3532" s="3" t="s">
        <v>45</v>
      </c>
      <c r="H3532" s="2" t="s">
        <v>36</v>
      </c>
      <c r="I3532" s="2" t="s">
        <v>8401</v>
      </c>
      <c r="J3532" s="3" t="str">
        <f>HYPERLINK("https://www.boe.es/gazeta/dias/1818/05/28/pdfs/GMD-1818-64.pdf#page=8","Abrir facsímil")</f>
        <v>Abrir facsímil</v>
      </c>
      <c r="K3532" s="3" t="s">
        <v>38</v>
      </c>
    </row>
    <row r="3533" spans="1:11" ht="42" customHeight="1">
      <c r="A3533" s="2" t="s">
        <v>8397</v>
      </c>
      <c r="B3533" s="2" t="s">
        <v>8398</v>
      </c>
      <c r="C3533" s="2" t="s">
        <v>68</v>
      </c>
      <c r="D3533" s="2" t="s">
        <v>69</v>
      </c>
      <c r="E3533" s="5">
        <v>-29731</v>
      </c>
      <c r="F3533" s="3" t="s">
        <v>299</v>
      </c>
      <c r="G3533" s="3" t="s">
        <v>45</v>
      </c>
      <c r="H3533" s="2" t="s">
        <v>36</v>
      </c>
      <c r="I3533" s="2" t="s">
        <v>8402</v>
      </c>
      <c r="J3533" s="3" t="str">
        <f>HYPERLINK("https://www.boe.es/gazeta/dias/1818/08/06/pdfs/GMD-1818-94.pdf#page=8","Abrir facsímil")</f>
        <v>Abrir facsímil</v>
      </c>
      <c r="K3533" s="3" t="s">
        <v>38</v>
      </c>
    </row>
    <row r="3534" spans="1:11" ht="42" customHeight="1">
      <c r="A3534" s="2" t="s">
        <v>8397</v>
      </c>
      <c r="B3534" s="2" t="s">
        <v>8398</v>
      </c>
      <c r="C3534" s="2" t="s">
        <v>68</v>
      </c>
      <c r="D3534" s="2" t="s">
        <v>69</v>
      </c>
      <c r="E3534" s="5">
        <v>-29696</v>
      </c>
      <c r="F3534" s="3" t="s">
        <v>1716</v>
      </c>
      <c r="G3534" s="3" t="s">
        <v>45</v>
      </c>
      <c r="H3534" s="2" t="s">
        <v>36</v>
      </c>
      <c r="I3534" s="2" t="s">
        <v>8403</v>
      </c>
      <c r="J3534" s="3" t="str">
        <f>HYPERLINK("https://www.boe.es/gazeta/dias/1818/09/10/pdfs/GMD-1818-109.pdf#page=8","Abrir facsímil")</f>
        <v>Abrir facsímil</v>
      </c>
      <c r="K3534" s="3" t="s">
        <v>38</v>
      </c>
    </row>
    <row r="3535" spans="1:11" ht="42" customHeight="1">
      <c r="A3535" s="2" t="s">
        <v>8397</v>
      </c>
      <c r="B3535" s="2" t="s">
        <v>8398</v>
      </c>
      <c r="C3535" s="2" t="s">
        <v>68</v>
      </c>
      <c r="D3535" s="2" t="s">
        <v>69</v>
      </c>
      <c r="E3535" s="5">
        <v>-29600</v>
      </c>
      <c r="F3535" s="3" t="s">
        <v>697</v>
      </c>
      <c r="G3535" s="3" t="s">
        <v>45</v>
      </c>
      <c r="H3535" s="2" t="s">
        <v>36</v>
      </c>
      <c r="I3535" s="2" t="s">
        <v>8404</v>
      </c>
      <c r="J3535" s="3" t="str">
        <f>HYPERLINK("https://www.boe.es/gazeta/dias/1818/12/15/pdfs/GMD-1818-151.pdf#page=8","Abrir facsímil")</f>
        <v>Abrir facsímil</v>
      </c>
      <c r="K3535" s="3" t="s">
        <v>38</v>
      </c>
    </row>
    <row r="3536" spans="1:11" ht="42" customHeight="1">
      <c r="A3536" s="2" t="s">
        <v>8397</v>
      </c>
      <c r="B3536" s="2" t="s">
        <v>8398</v>
      </c>
      <c r="C3536" s="2" t="s">
        <v>68</v>
      </c>
      <c r="D3536" s="2" t="s">
        <v>69</v>
      </c>
      <c r="E3536" s="5">
        <v>-29584</v>
      </c>
      <c r="F3536" s="3" t="s">
        <v>1002</v>
      </c>
      <c r="G3536" s="3" t="s">
        <v>20</v>
      </c>
      <c r="H3536" s="2" t="s">
        <v>36</v>
      </c>
      <c r="I3536" s="2" t="s">
        <v>8405</v>
      </c>
      <c r="J3536" s="3" t="str">
        <f>HYPERLINK("https://www.boe.es/gazeta/dias/1818/12/31/pdfs/GMD-1818-159.pdf#page=7","Abrir facsímil")</f>
        <v>Abrir facsímil</v>
      </c>
      <c r="K3536" s="3" t="s">
        <v>38</v>
      </c>
    </row>
    <row r="3537" spans="1:11" ht="42" customHeight="1">
      <c r="A3537" s="2" t="s">
        <v>8406</v>
      </c>
      <c r="B3537" s="2" t="s">
        <v>8407</v>
      </c>
      <c r="C3537" s="2" t="s">
        <v>26</v>
      </c>
      <c r="D3537" s="2" t="s">
        <v>27</v>
      </c>
      <c r="E3537" s="5">
        <v>-29831</v>
      </c>
      <c r="F3537" s="3" t="s">
        <v>567</v>
      </c>
      <c r="G3537" s="3" t="s">
        <v>20</v>
      </c>
      <c r="H3537" s="2" t="s">
        <v>36</v>
      </c>
      <c r="I3537" s="2" t="s">
        <v>8408</v>
      </c>
      <c r="J3537" s="3" t="str">
        <f>HYPERLINK("https://www.boe.es/gazeta/dias/1818/04/28/pdfs/GMD-1818-51.pdf#page=7","Abrir facsímil")</f>
        <v>Abrir facsímil</v>
      </c>
      <c r="K3537" s="3" t="s">
        <v>38</v>
      </c>
    </row>
    <row r="3538" spans="1:11" ht="42" customHeight="1">
      <c r="A3538" s="2" t="s">
        <v>8409</v>
      </c>
      <c r="B3538" s="2" t="s">
        <v>8410</v>
      </c>
      <c r="C3538" s="2" t="s">
        <v>33</v>
      </c>
      <c r="D3538" s="2" t="s">
        <v>18</v>
      </c>
      <c r="E3538" s="5">
        <v>-29901</v>
      </c>
      <c r="F3538" s="3" t="s">
        <v>417</v>
      </c>
      <c r="G3538" s="3" t="s">
        <v>49</v>
      </c>
      <c r="H3538" s="2" t="s">
        <v>36</v>
      </c>
      <c r="I3538" s="2" t="s">
        <v>8411</v>
      </c>
      <c r="J3538" s="3" t="str">
        <f>HYPERLINK("https://www.boe.es/gazeta/dias/1818/02/17/pdfs/GMD-1818-21.pdf#page=1","Abrir facsímil")</f>
        <v>Abrir facsímil</v>
      </c>
      <c r="K3538" s="3" t="s">
        <v>38</v>
      </c>
    </row>
    <row r="3539" spans="1:11" ht="42" customHeight="1">
      <c r="A3539" s="2" t="s">
        <v>8409</v>
      </c>
      <c r="B3539" s="2" t="s">
        <v>8410</v>
      </c>
      <c r="C3539" s="2" t="s">
        <v>17</v>
      </c>
      <c r="D3539" s="2" t="s">
        <v>18</v>
      </c>
      <c r="E3539" s="5">
        <v>-29796</v>
      </c>
      <c r="F3539" s="3" t="s">
        <v>1359</v>
      </c>
      <c r="G3539" s="3" t="s">
        <v>49</v>
      </c>
      <c r="H3539" s="2" t="s">
        <v>36</v>
      </c>
      <c r="I3539" s="2" t="s">
        <v>8412</v>
      </c>
      <c r="J3539" s="3" t="str">
        <f>HYPERLINK("https://www.boe.es/gazeta/dias/1818/06/02/pdfs/GMD-1818-66.pdf#page=1","Abrir facsímil")</f>
        <v>Abrir facsímil</v>
      </c>
      <c r="K3539" s="3" t="s">
        <v>38</v>
      </c>
    </row>
    <row r="3540" spans="1:11" ht="42" customHeight="1">
      <c r="A3540" s="2" t="s">
        <v>8409</v>
      </c>
      <c r="B3540" s="2" t="s">
        <v>8410</v>
      </c>
      <c r="C3540" s="2" t="s">
        <v>68</v>
      </c>
      <c r="D3540" s="2" t="s">
        <v>69</v>
      </c>
      <c r="E3540" s="5">
        <v>-29796</v>
      </c>
      <c r="F3540" s="3" t="s">
        <v>1359</v>
      </c>
      <c r="G3540" s="3" t="s">
        <v>120</v>
      </c>
      <c r="H3540" s="2" t="s">
        <v>36</v>
      </c>
      <c r="I3540" s="2" t="s">
        <v>8413</v>
      </c>
      <c r="J3540" s="3" t="str">
        <f>HYPERLINK("https://www.boe.es/gazeta/dias/1818/06/02/pdfs/GMD-1818-66.pdf#page=2","Abrir facsímil")</f>
        <v>Abrir facsímil</v>
      </c>
      <c r="K3540" s="3" t="s">
        <v>38</v>
      </c>
    </row>
    <row r="3541" spans="1:11" ht="42" customHeight="1">
      <c r="A3541" s="2" t="s">
        <v>8414</v>
      </c>
      <c r="B3541" s="2" t="s">
        <v>8415</v>
      </c>
      <c r="C3541" s="2" t="s">
        <v>33</v>
      </c>
      <c r="D3541" s="2" t="s">
        <v>18</v>
      </c>
      <c r="E3541" s="5">
        <v>-29873</v>
      </c>
      <c r="F3541" s="3" t="s">
        <v>323</v>
      </c>
      <c r="G3541" s="3" t="s">
        <v>59</v>
      </c>
      <c r="H3541" s="2" t="s">
        <v>36</v>
      </c>
      <c r="I3541" s="2" t="s">
        <v>8416</v>
      </c>
      <c r="J3541" s="3" t="str">
        <f>HYPERLINK("https://www.boe.es/gazeta/dias/1818/03/17/pdfs/GMD-1818-33.pdf#page=6","Abrir facsímil")</f>
        <v>Abrir facsímil</v>
      </c>
      <c r="K3541" s="3" t="s">
        <v>38</v>
      </c>
    </row>
    <row r="3542" spans="1:11" ht="42" customHeight="1">
      <c r="A3542" s="2" t="s">
        <v>8417</v>
      </c>
      <c r="B3542" s="2" t="s">
        <v>8418</v>
      </c>
      <c r="C3542" s="2" t="s">
        <v>26</v>
      </c>
      <c r="D3542" s="2" t="s">
        <v>27</v>
      </c>
      <c r="E3542" s="5">
        <v>-29682</v>
      </c>
      <c r="F3542" s="3" t="s">
        <v>170</v>
      </c>
      <c r="G3542" s="3" t="s">
        <v>20</v>
      </c>
      <c r="H3542" s="2" t="s">
        <v>36</v>
      </c>
      <c r="I3542" s="2" t="s">
        <v>8419</v>
      </c>
      <c r="J3542" s="3" t="str">
        <f>HYPERLINK("https://www.boe.es/gazeta/dias/1818/09/24/pdfs/GMD-1818-115.pdf#page=7","Abrir facsímil")</f>
        <v>Abrir facsímil</v>
      </c>
      <c r="K3542" s="3" t="s">
        <v>38</v>
      </c>
    </row>
    <row r="3543" spans="1:11" ht="42" customHeight="1">
      <c r="A3543" s="2" t="s">
        <v>8420</v>
      </c>
      <c r="B3543" s="2" t="s">
        <v>8421</v>
      </c>
      <c r="C3543" s="2" t="s">
        <v>26</v>
      </c>
      <c r="D3543" s="2" t="s">
        <v>27</v>
      </c>
      <c r="E3543" s="5">
        <v>-29782</v>
      </c>
      <c r="F3543" s="3" t="s">
        <v>226</v>
      </c>
      <c r="G3543" s="3" t="s">
        <v>20</v>
      </c>
      <c r="H3543" s="2" t="s">
        <v>21</v>
      </c>
      <c r="I3543" s="2" t="s">
        <v>8422</v>
      </c>
      <c r="J3543" s="3" t="str">
        <f>HYPERLINK("https://www.boe.es/gazeta/dias/1818/06/16/pdfs/GMD-1818-72.pdf#page=7","Abrir facsímil")</f>
        <v>Abrir facsímil</v>
      </c>
      <c r="K3543" s="3" t="s">
        <v>23</v>
      </c>
    </row>
    <row r="3544" spans="1:11" ht="42" customHeight="1">
      <c r="A3544" s="2" t="s">
        <v>8423</v>
      </c>
      <c r="B3544" s="2" t="s">
        <v>8424</v>
      </c>
      <c r="C3544" s="2" t="s">
        <v>26</v>
      </c>
      <c r="D3544" s="2" t="s">
        <v>27</v>
      </c>
      <c r="E3544" s="5">
        <v>-29694</v>
      </c>
      <c r="F3544" s="3" t="s">
        <v>528</v>
      </c>
      <c r="G3544" s="3" t="s">
        <v>29</v>
      </c>
      <c r="H3544" s="2" t="s">
        <v>36</v>
      </c>
      <c r="I3544" s="2" t="s">
        <v>8425</v>
      </c>
      <c r="J3544" s="3" t="str">
        <f>HYPERLINK("https://www.boe.es/gazeta/dias/1818/09/12/pdfs/GMD-1818-110.pdf#page=4","Abrir facsímil")</f>
        <v>Abrir facsímil</v>
      </c>
      <c r="K3544" s="3" t="s">
        <v>38</v>
      </c>
    </row>
    <row r="3545" spans="1:11" ht="42" customHeight="1">
      <c r="A3545" s="2" t="s">
        <v>8426</v>
      </c>
      <c r="B3545" s="2" t="s">
        <v>8427</v>
      </c>
      <c r="C3545" s="2" t="s">
        <v>57</v>
      </c>
      <c r="D3545" s="2" t="s">
        <v>18</v>
      </c>
      <c r="E3545" s="5">
        <v>-29908</v>
      </c>
      <c r="F3545" s="3" t="s">
        <v>695</v>
      </c>
      <c r="G3545" s="3" t="s">
        <v>45</v>
      </c>
      <c r="H3545" s="2" t="s">
        <v>36</v>
      </c>
      <c r="I3545" s="2" t="s">
        <v>8428</v>
      </c>
      <c r="J3545" s="3" t="str">
        <f>HYPERLINK("https://www.boe.es/gazeta/dias/1818/02/10/pdfs/GMD-1818-18.pdf#page=8","Abrir facsímil")</f>
        <v>Abrir facsímil</v>
      </c>
      <c r="K3545" s="3" t="s">
        <v>38</v>
      </c>
    </row>
    <row r="3546" spans="1:11" ht="42" customHeight="1">
      <c r="A3546" s="2" t="s">
        <v>8429</v>
      </c>
      <c r="B3546" s="2" t="s">
        <v>8430</v>
      </c>
      <c r="C3546" s="2" t="s">
        <v>26</v>
      </c>
      <c r="D3546" s="2" t="s">
        <v>27</v>
      </c>
      <c r="E3546" s="5">
        <v>-29936</v>
      </c>
      <c r="F3546" s="3" t="s">
        <v>398</v>
      </c>
      <c r="G3546" s="3" t="s">
        <v>20</v>
      </c>
      <c r="H3546" s="2" t="s">
        <v>36</v>
      </c>
      <c r="I3546" s="2" t="s">
        <v>8431</v>
      </c>
      <c r="J3546" s="3" t="str">
        <f>HYPERLINK("https://www.boe.es/gazeta/dias/1818/01/13/pdfs/GMD-1818-6.pdf#page=7","Abrir facsímil")</f>
        <v>Abrir facsímil</v>
      </c>
      <c r="K3546" s="3" t="s">
        <v>38</v>
      </c>
    </row>
    <row r="3547" spans="1:11" ht="42" customHeight="1">
      <c r="A3547" s="2" t="s">
        <v>8432</v>
      </c>
      <c r="B3547" s="2" t="s">
        <v>8432</v>
      </c>
      <c r="C3547" s="2" t="s">
        <v>26</v>
      </c>
      <c r="D3547" s="2" t="s">
        <v>27</v>
      </c>
      <c r="E3547" s="5">
        <v>-29850</v>
      </c>
      <c r="F3547" s="3" t="s">
        <v>1051</v>
      </c>
      <c r="G3547" s="3" t="s">
        <v>29</v>
      </c>
      <c r="H3547" s="2" t="s">
        <v>36</v>
      </c>
      <c r="I3547" s="2" t="s">
        <v>8433</v>
      </c>
      <c r="J3547" s="3" t="str">
        <f>HYPERLINK("https://www.boe.es/gazeta/dias/1818/04/09/pdfs/GMD-1818-43.pdf#page=4","Abrir facsímil")</f>
        <v>Abrir facsímil</v>
      </c>
      <c r="K3547" s="3" t="s">
        <v>38</v>
      </c>
    </row>
    <row r="3548" spans="1:11" ht="42" customHeight="1">
      <c r="A3548" s="2" t="s">
        <v>8434</v>
      </c>
      <c r="B3548" s="2" t="s">
        <v>8435</v>
      </c>
      <c r="C3548" s="2" t="s">
        <v>26</v>
      </c>
      <c r="D3548" s="2" t="s">
        <v>27</v>
      </c>
      <c r="E3548" s="5">
        <v>-29850</v>
      </c>
      <c r="F3548" s="3" t="s">
        <v>1051</v>
      </c>
      <c r="G3548" s="3" t="s">
        <v>29</v>
      </c>
      <c r="H3548" s="2" t="s">
        <v>36</v>
      </c>
      <c r="I3548" s="2" t="s">
        <v>8436</v>
      </c>
      <c r="J3548" s="3" t="str">
        <f>HYPERLINK("https://www.boe.es/gazeta/dias/1818/04/09/pdfs/GMD-1818-43.pdf#page=4","Abrir facsímil")</f>
        <v>Abrir facsímil</v>
      </c>
      <c r="K3548" s="3" t="s">
        <v>38</v>
      </c>
    </row>
    <row r="3549" spans="1:11" ht="42" customHeight="1">
      <c r="A3549" s="2" t="s">
        <v>8437</v>
      </c>
      <c r="B3549" s="2" t="s">
        <v>8437</v>
      </c>
      <c r="C3549" s="2" t="s">
        <v>26</v>
      </c>
      <c r="D3549" s="2" t="s">
        <v>27</v>
      </c>
      <c r="E3549" s="5">
        <v>-29666</v>
      </c>
      <c r="F3549" s="3" t="s">
        <v>258</v>
      </c>
      <c r="G3549" s="3" t="s">
        <v>59</v>
      </c>
      <c r="H3549" s="2" t="s">
        <v>36</v>
      </c>
      <c r="I3549" s="2" t="s">
        <v>8438</v>
      </c>
      <c r="J3549" s="3" t="str">
        <f>HYPERLINK("https://www.boe.es/gazeta/dias/1818/10/10/pdfs/GMD-1818-122.pdf#page=6","Abrir facsímil")</f>
        <v>Abrir facsímil</v>
      </c>
      <c r="K3549" s="3" t="s">
        <v>38</v>
      </c>
    </row>
    <row r="3550" spans="1:11" ht="42" customHeight="1">
      <c r="A3550" s="2" t="s">
        <v>8439</v>
      </c>
      <c r="B3550" s="2" t="s">
        <v>8440</v>
      </c>
      <c r="C3550" s="2" t="s">
        <v>26</v>
      </c>
      <c r="D3550" s="2" t="s">
        <v>27</v>
      </c>
      <c r="E3550" s="5">
        <v>-29666</v>
      </c>
      <c r="F3550" s="3" t="s">
        <v>258</v>
      </c>
      <c r="G3550" s="3" t="s">
        <v>106</v>
      </c>
      <c r="H3550" s="2" t="s">
        <v>36</v>
      </c>
      <c r="I3550" s="2" t="s">
        <v>8441</v>
      </c>
      <c r="J3550" s="3" t="str">
        <f>HYPERLINK("https://www.boe.es/gazeta/dias/1818/10/10/pdfs/GMD-1818-122.pdf#page=5","Abrir facsímil")</f>
        <v>Abrir facsímil</v>
      </c>
      <c r="K3550" s="3" t="s">
        <v>38</v>
      </c>
    </row>
    <row r="3551" spans="1:11" ht="42" customHeight="1">
      <c r="A3551" s="2" t="s">
        <v>8442</v>
      </c>
      <c r="B3551" s="2" t="s">
        <v>8443</v>
      </c>
      <c r="C3551" s="2" t="s">
        <v>33</v>
      </c>
      <c r="D3551" s="2" t="s">
        <v>18</v>
      </c>
      <c r="E3551" s="5">
        <v>-29736</v>
      </c>
      <c r="F3551" s="3" t="s">
        <v>581</v>
      </c>
      <c r="G3551" s="3" t="s">
        <v>59</v>
      </c>
      <c r="H3551" s="2" t="s">
        <v>36</v>
      </c>
      <c r="I3551" s="2" t="s">
        <v>8444</v>
      </c>
      <c r="J3551" s="3" t="str">
        <f>HYPERLINK("https://www.boe.es/gazeta/dias/1818/08/01/pdfs/GMD-1818-92.pdf#page=6","Abrir facsímil")</f>
        <v>Abrir facsímil</v>
      </c>
      <c r="K3551" s="3" t="s">
        <v>38</v>
      </c>
    </row>
    <row r="3552" spans="1:11" ht="42" customHeight="1">
      <c r="A3552" s="2" t="s">
        <v>8445</v>
      </c>
      <c r="B3552" s="2" t="s">
        <v>8446</v>
      </c>
      <c r="C3552" s="2" t="s">
        <v>33</v>
      </c>
      <c r="D3552" s="2" t="s">
        <v>18</v>
      </c>
      <c r="E3552" s="5">
        <v>-29745</v>
      </c>
      <c r="F3552" s="3" t="s">
        <v>409</v>
      </c>
      <c r="G3552" s="3" t="s">
        <v>45</v>
      </c>
      <c r="H3552" s="2" t="s">
        <v>36</v>
      </c>
      <c r="I3552" s="2" t="s">
        <v>8447</v>
      </c>
      <c r="J3552" s="3" t="str">
        <f>HYPERLINK("https://www.boe.es/gazeta/dias/1818/07/23/pdfs/GMD-1818-88.pdf#page=8","Abrir facsímil")</f>
        <v>Abrir facsímil</v>
      </c>
      <c r="K3552" s="3" t="s">
        <v>38</v>
      </c>
    </row>
    <row r="3553" spans="1:11" ht="42" customHeight="1">
      <c r="A3553" s="2" t="s">
        <v>8448</v>
      </c>
      <c r="B3553" s="2" t="s">
        <v>8449</v>
      </c>
      <c r="C3553" s="2" t="s">
        <v>17</v>
      </c>
      <c r="D3553" s="2" t="s">
        <v>18</v>
      </c>
      <c r="E3553" s="5">
        <v>-29925</v>
      </c>
      <c r="F3553" s="3" t="s">
        <v>447</v>
      </c>
      <c r="G3553" s="3" t="s">
        <v>8095</v>
      </c>
      <c r="H3553" s="2" t="s">
        <v>36</v>
      </c>
      <c r="I3553" s="2" t="s">
        <v>8450</v>
      </c>
      <c r="J3553" s="3" t="str">
        <f>HYPERLINK("https://www.boe.es/gazeta/dias/1818/01/24/pdfs/GMD-1818-11.pdf#page=4","Abrir facsímil")</f>
        <v>Abrir facsímil</v>
      </c>
      <c r="K3553" s="3" t="s">
        <v>38</v>
      </c>
    </row>
    <row r="3554" spans="1:11" ht="42" customHeight="1">
      <c r="A3554" s="2" t="s">
        <v>8451</v>
      </c>
      <c r="B3554" s="2" t="s">
        <v>8452</v>
      </c>
      <c r="C3554" s="2" t="s">
        <v>26</v>
      </c>
      <c r="D3554" s="2" t="s">
        <v>27</v>
      </c>
      <c r="E3554" s="5">
        <v>-29920</v>
      </c>
      <c r="F3554" s="3" t="s">
        <v>201</v>
      </c>
      <c r="G3554" s="3" t="s">
        <v>106</v>
      </c>
      <c r="H3554" s="2" t="s">
        <v>36</v>
      </c>
      <c r="I3554" s="2" t="s">
        <v>8453</v>
      </c>
      <c r="J3554" s="3" t="str">
        <f>HYPERLINK("https://www.boe.es/gazeta/dias/1818/01/29/pdfs/GMD-1818-13.pdf#page=5","Abrir facsímil")</f>
        <v>Abrir facsímil</v>
      </c>
      <c r="K3554" s="3" t="s">
        <v>38</v>
      </c>
    </row>
    <row r="3555" spans="1:11" ht="42" customHeight="1">
      <c r="A3555" s="2" t="s">
        <v>8454</v>
      </c>
      <c r="B3555" s="2" t="s">
        <v>8455</v>
      </c>
      <c r="C3555" s="2" t="s">
        <v>26</v>
      </c>
      <c r="D3555" s="2" t="s">
        <v>27</v>
      </c>
      <c r="E3555" s="5">
        <v>-29887</v>
      </c>
      <c r="F3555" s="3" t="s">
        <v>613</v>
      </c>
      <c r="G3555" s="3" t="s">
        <v>106</v>
      </c>
      <c r="H3555" s="2" t="s">
        <v>36</v>
      </c>
      <c r="I3555" s="2" t="s">
        <v>8456</v>
      </c>
      <c r="J3555" s="3" t="str">
        <f>HYPERLINK("https://www.boe.es/gazeta/dias/1818/03/03/pdfs/GMD-1818-27.pdf#page=5","Abrir facsímil")</f>
        <v>Abrir facsímil</v>
      </c>
      <c r="K3555" s="3" t="s">
        <v>38</v>
      </c>
    </row>
    <row r="3556" spans="1:11" ht="42" customHeight="1">
      <c r="A3556" s="2" t="s">
        <v>8454</v>
      </c>
      <c r="B3556" s="2" t="s">
        <v>8455</v>
      </c>
      <c r="C3556" s="2" t="s">
        <v>26</v>
      </c>
      <c r="D3556" s="2" t="s">
        <v>27</v>
      </c>
      <c r="E3556" s="5">
        <v>-29887</v>
      </c>
      <c r="F3556" s="3" t="s">
        <v>613</v>
      </c>
      <c r="G3556" s="3" t="s">
        <v>59</v>
      </c>
      <c r="H3556" s="2" t="s">
        <v>36</v>
      </c>
      <c r="I3556" s="2" t="s">
        <v>8457</v>
      </c>
      <c r="J3556" s="3" t="str">
        <f>HYPERLINK("https://www.boe.es/gazeta/dias/1818/03/03/pdfs/GMD-1818-27.pdf#page=6","Abrir facsímil")</f>
        <v>Abrir facsímil</v>
      </c>
      <c r="K3556" s="3" t="s">
        <v>38</v>
      </c>
    </row>
    <row r="3557" spans="1:11" ht="42" customHeight="1">
      <c r="A3557" s="2" t="s">
        <v>8454</v>
      </c>
      <c r="B3557" s="2" t="s">
        <v>8455</v>
      </c>
      <c r="C3557" s="2" t="s">
        <v>26</v>
      </c>
      <c r="D3557" s="2" t="s">
        <v>27</v>
      </c>
      <c r="E3557" s="5">
        <v>-29887</v>
      </c>
      <c r="F3557" s="3" t="s">
        <v>613</v>
      </c>
      <c r="G3557" s="3" t="s">
        <v>20</v>
      </c>
      <c r="H3557" s="2" t="s">
        <v>36</v>
      </c>
      <c r="I3557" s="2" t="s">
        <v>8458</v>
      </c>
      <c r="J3557" s="3" t="str">
        <f>HYPERLINK("https://www.boe.es/gazeta/dias/1818/03/03/pdfs/GMD-1818-27.pdf#page=7","Abrir facsímil")</f>
        <v>Abrir facsímil</v>
      </c>
      <c r="K3557" s="3" t="s">
        <v>38</v>
      </c>
    </row>
    <row r="3558" spans="1:11" ht="42" customHeight="1">
      <c r="A3558" s="2" t="s">
        <v>8459</v>
      </c>
      <c r="B3558" s="2" t="s">
        <v>8459</v>
      </c>
      <c r="C3558" s="2" t="s">
        <v>26</v>
      </c>
      <c r="D3558" s="2" t="s">
        <v>27</v>
      </c>
      <c r="E3558" s="5">
        <v>-29857</v>
      </c>
      <c r="F3558" s="3" t="s">
        <v>831</v>
      </c>
      <c r="G3558" s="3" t="s">
        <v>20</v>
      </c>
      <c r="H3558" s="2" t="s">
        <v>36</v>
      </c>
      <c r="I3558" s="2" t="s">
        <v>8460</v>
      </c>
      <c r="J3558" s="3" t="str">
        <f>HYPERLINK("https://www.boe.es/gazeta/dias/1818/04/02/pdfs/GMD-1818-40.pdf#page=7","Abrir facsímil")</f>
        <v>Abrir facsímil</v>
      </c>
      <c r="K3558" s="3" t="s">
        <v>38</v>
      </c>
    </row>
    <row r="3559" spans="1:11" ht="42" customHeight="1">
      <c r="A3559" s="2" t="s">
        <v>8461</v>
      </c>
      <c r="B3559" s="2" t="s">
        <v>8462</v>
      </c>
      <c r="C3559" s="2" t="s">
        <v>17</v>
      </c>
      <c r="D3559" s="2" t="s">
        <v>18</v>
      </c>
      <c r="E3559" s="5">
        <v>-29850</v>
      </c>
      <c r="F3559" s="3" t="s">
        <v>1051</v>
      </c>
      <c r="G3559" s="3" t="s">
        <v>45</v>
      </c>
      <c r="H3559" s="2" t="s">
        <v>21</v>
      </c>
      <c r="I3559" s="2" t="s">
        <v>8463</v>
      </c>
      <c r="J3559" s="3" t="str">
        <f>HYPERLINK("https://www.boe.es/gazeta/dias/1818/04/09/pdfs/GMD-1818-43.pdf#page=8","Abrir facsímil")</f>
        <v>Abrir facsímil</v>
      </c>
      <c r="K3559" s="3" t="s">
        <v>23</v>
      </c>
    </row>
    <row r="3560" spans="1:11" ht="42" customHeight="1">
      <c r="A3560" s="2" t="s">
        <v>8464</v>
      </c>
      <c r="B3560" s="2" t="s">
        <v>8465</v>
      </c>
      <c r="C3560" s="2" t="s">
        <v>57</v>
      </c>
      <c r="D3560" s="2" t="s">
        <v>18</v>
      </c>
      <c r="E3560" s="5">
        <v>-29897</v>
      </c>
      <c r="F3560" s="3" t="s">
        <v>318</v>
      </c>
      <c r="G3560" s="3" t="s">
        <v>59</v>
      </c>
      <c r="H3560" s="2" t="s">
        <v>21</v>
      </c>
      <c r="I3560" s="2" t="s">
        <v>8466</v>
      </c>
      <c r="J3560" s="3" t="str">
        <f>HYPERLINK("https://www.boe.es/gazeta/dias/1818/02/21/pdfs/GMD-1818-23.pdf#page=6","Abrir facsímil")</f>
        <v>Abrir facsímil</v>
      </c>
      <c r="K3560" s="3" t="s">
        <v>23</v>
      </c>
    </row>
    <row r="3561" spans="1:11" ht="42" customHeight="1">
      <c r="A3561" s="2" t="s">
        <v>8464</v>
      </c>
      <c r="B3561" s="2" t="s">
        <v>8465</v>
      </c>
      <c r="C3561" s="2" t="s">
        <v>17</v>
      </c>
      <c r="D3561" s="2" t="s">
        <v>18</v>
      </c>
      <c r="E3561" s="5">
        <v>-29661</v>
      </c>
      <c r="F3561" s="3" t="s">
        <v>348</v>
      </c>
      <c r="G3561" s="3" t="s">
        <v>2123</v>
      </c>
      <c r="H3561" s="2" t="s">
        <v>21</v>
      </c>
      <c r="I3561" s="2" t="s">
        <v>8467</v>
      </c>
      <c r="J3561" s="3" t="str">
        <f>HYPERLINK("https://www.boe.es/gazeta/dias/1818/10/15/pdfs/GMD-1818-124.pdf#page=5","Abrir facsímil")</f>
        <v>Abrir facsímil</v>
      </c>
      <c r="K3561" s="3" t="s">
        <v>23</v>
      </c>
    </row>
    <row r="3562" spans="1:11" ht="42" customHeight="1">
      <c r="A3562" s="2" t="s">
        <v>8468</v>
      </c>
      <c r="B3562" s="2" t="s">
        <v>8469</v>
      </c>
      <c r="C3562" s="2" t="s">
        <v>26</v>
      </c>
      <c r="D3562" s="2" t="s">
        <v>27</v>
      </c>
      <c r="E3562" s="5">
        <v>-29726</v>
      </c>
      <c r="F3562" s="3" t="s">
        <v>70</v>
      </c>
      <c r="G3562" s="3" t="s">
        <v>4546</v>
      </c>
      <c r="H3562" s="2" t="s">
        <v>36</v>
      </c>
      <c r="I3562" s="2" t="s">
        <v>8470</v>
      </c>
      <c r="J3562" s="3" t="str">
        <f>HYPERLINK("https://www.boe.es/gazeta/dias/1818/08/11/pdfs/GMD-1818-96.pdf#page=13","Abrir facsímil")</f>
        <v>Abrir facsímil</v>
      </c>
      <c r="K3562" s="3" t="s">
        <v>38</v>
      </c>
    </row>
    <row r="3563" spans="1:11" ht="42" customHeight="1">
      <c r="A3563" s="2" t="s">
        <v>8471</v>
      </c>
      <c r="B3563" s="2" t="s">
        <v>8472</v>
      </c>
      <c r="C3563" s="2" t="s">
        <v>26</v>
      </c>
      <c r="D3563" s="2" t="s">
        <v>27</v>
      </c>
      <c r="E3563" s="5">
        <v>-29738</v>
      </c>
      <c r="F3563" s="3" t="s">
        <v>263</v>
      </c>
      <c r="G3563" s="3" t="s">
        <v>20</v>
      </c>
      <c r="H3563" s="2" t="s">
        <v>36</v>
      </c>
      <c r="I3563" s="2" t="s">
        <v>8473</v>
      </c>
      <c r="J3563" s="3" t="str">
        <f>HYPERLINK("https://www.boe.es/gazeta/dias/1818/07/30/pdfs/GMD-1818-91.pdf#page=7","Abrir facsímil")</f>
        <v>Abrir facsímil</v>
      </c>
      <c r="K3563" s="3" t="s">
        <v>38</v>
      </c>
    </row>
    <row r="3564" spans="1:11" ht="42" customHeight="1">
      <c r="A3564" s="2" t="s">
        <v>8474</v>
      </c>
      <c r="B3564" s="2" t="s">
        <v>8475</v>
      </c>
      <c r="C3564" s="2" t="s">
        <v>33</v>
      </c>
      <c r="D3564" s="2" t="s">
        <v>18</v>
      </c>
      <c r="E3564" s="5">
        <v>-29591</v>
      </c>
      <c r="F3564" s="3" t="s">
        <v>1414</v>
      </c>
      <c r="G3564" s="3" t="s">
        <v>45</v>
      </c>
      <c r="H3564" s="2" t="s">
        <v>36</v>
      </c>
      <c r="I3564" s="2" t="s">
        <v>8476</v>
      </c>
      <c r="J3564" s="3" t="str">
        <f>HYPERLINK("https://www.boe.es/gazeta/dias/1818/12/24/pdfs/GMD-1818-155.pdf#page=8","Abrir facsímil")</f>
        <v>Abrir facsímil</v>
      </c>
      <c r="K3564" s="3" t="s">
        <v>38</v>
      </c>
    </row>
    <row r="3565" spans="1:11" ht="42" customHeight="1">
      <c r="A3565" s="2" t="s">
        <v>8477</v>
      </c>
      <c r="B3565" s="2" t="s">
        <v>8478</v>
      </c>
      <c r="C3565" s="2" t="s">
        <v>68</v>
      </c>
      <c r="D3565" s="2" t="s">
        <v>69</v>
      </c>
      <c r="E3565" s="5">
        <v>-29789</v>
      </c>
      <c r="F3565" s="3" t="s">
        <v>937</v>
      </c>
      <c r="G3565" s="3" t="s">
        <v>45</v>
      </c>
      <c r="H3565" s="2" t="s">
        <v>21</v>
      </c>
      <c r="I3565" s="2" t="s">
        <v>8479</v>
      </c>
      <c r="J3565" s="3" t="str">
        <f>HYPERLINK("https://www.boe.es/gazeta/dias/1818/06/09/pdfs/GMD-1818-69.pdf#page=8","Abrir facsímil")</f>
        <v>Abrir facsímil</v>
      </c>
      <c r="K3565" s="3" t="s">
        <v>23</v>
      </c>
    </row>
    <row r="3566" spans="1:11" ht="42" customHeight="1">
      <c r="A3566" s="2" t="s">
        <v>8480</v>
      </c>
      <c r="B3566" s="2" t="s">
        <v>8481</v>
      </c>
      <c r="C3566" s="2" t="s">
        <v>26</v>
      </c>
      <c r="D3566" s="2" t="s">
        <v>27</v>
      </c>
      <c r="E3566" s="5">
        <v>-29869</v>
      </c>
      <c r="F3566" s="3" t="s">
        <v>140</v>
      </c>
      <c r="G3566" s="3" t="s">
        <v>59</v>
      </c>
      <c r="H3566" s="2" t="s">
        <v>36</v>
      </c>
      <c r="I3566" s="2" t="s">
        <v>8482</v>
      </c>
      <c r="J3566" s="3" t="str">
        <f>HYPERLINK("https://www.boe.es/gazeta/dias/1818/03/21/pdfs/GMD-1818-35.pdf#page=6","Abrir facsímil")</f>
        <v>Abrir facsímil</v>
      </c>
      <c r="K3566" s="3" t="s">
        <v>38</v>
      </c>
    </row>
    <row r="3567" spans="1:11" ht="42" customHeight="1">
      <c r="A3567" s="2" t="s">
        <v>8483</v>
      </c>
      <c r="B3567" s="2" t="s">
        <v>8484</v>
      </c>
      <c r="C3567" s="2" t="s">
        <v>26</v>
      </c>
      <c r="D3567" s="2" t="s">
        <v>27</v>
      </c>
      <c r="E3567" s="5">
        <v>-29703</v>
      </c>
      <c r="F3567" s="3" t="s">
        <v>294</v>
      </c>
      <c r="G3567" s="3" t="s">
        <v>295</v>
      </c>
      <c r="H3567" s="2" t="s">
        <v>36</v>
      </c>
      <c r="I3567" s="2" t="s">
        <v>8485</v>
      </c>
      <c r="J3567" s="3" t="str">
        <f>HYPERLINK("https://www.boe.es/gazeta/dias/1818/09/03/pdfs/GMD-1818-106.pdf#page=5","Abrir facsímil")</f>
        <v>Abrir facsímil</v>
      </c>
      <c r="K3567" s="3" t="s">
        <v>38</v>
      </c>
    </row>
    <row r="3568" spans="1:11" ht="42" customHeight="1">
      <c r="A3568" s="2" t="s">
        <v>8486</v>
      </c>
      <c r="B3568" s="2" t="s">
        <v>8487</v>
      </c>
      <c r="C3568" s="2" t="s">
        <v>17</v>
      </c>
      <c r="D3568" s="2" t="s">
        <v>18</v>
      </c>
      <c r="E3568" s="5">
        <v>-29680</v>
      </c>
      <c r="F3568" s="3" t="s">
        <v>865</v>
      </c>
      <c r="G3568" s="3" t="s">
        <v>45</v>
      </c>
      <c r="H3568" s="2" t="s">
        <v>36</v>
      </c>
      <c r="I3568" s="2" t="s">
        <v>8488</v>
      </c>
      <c r="J3568" s="3" t="str">
        <f>HYPERLINK("https://www.boe.es/gazeta/dias/1818/09/26/pdfs/GMD-1818-116.pdf#page=8","Abrir facsímil")</f>
        <v>Abrir facsímil</v>
      </c>
      <c r="K3568" s="3" t="s">
        <v>38</v>
      </c>
    </row>
    <row r="3569" spans="1:11" ht="42" customHeight="1">
      <c r="A3569" s="2" t="s">
        <v>8489</v>
      </c>
      <c r="B3569" s="2" t="s">
        <v>8490</v>
      </c>
      <c r="C3569" s="2" t="s">
        <v>26</v>
      </c>
      <c r="D3569" s="2" t="s">
        <v>27</v>
      </c>
      <c r="E3569" s="5">
        <v>-29922</v>
      </c>
      <c r="F3569" s="3" t="s">
        <v>174</v>
      </c>
      <c r="G3569" s="3" t="s">
        <v>45</v>
      </c>
      <c r="H3569" s="2" t="s">
        <v>36</v>
      </c>
      <c r="I3569" s="2" t="s">
        <v>8491</v>
      </c>
      <c r="J3569" s="3" t="str">
        <f>HYPERLINK("https://www.boe.es/gazeta/dias/1818/01/27/pdfs/GMD-1818-12.pdf#page=8","Abrir facsímil")</f>
        <v>Abrir facsímil</v>
      </c>
      <c r="K3569" s="3" t="s">
        <v>38</v>
      </c>
    </row>
    <row r="3570" spans="1:11" ht="42" customHeight="1">
      <c r="A3570" s="2" t="s">
        <v>8492</v>
      </c>
      <c r="B3570" s="2" t="s">
        <v>8493</v>
      </c>
      <c r="C3570" s="2" t="s">
        <v>26</v>
      </c>
      <c r="D3570" s="2" t="s">
        <v>27</v>
      </c>
      <c r="E3570" s="5">
        <v>-29897</v>
      </c>
      <c r="F3570" s="3" t="s">
        <v>318</v>
      </c>
      <c r="G3570" s="3" t="s">
        <v>29</v>
      </c>
      <c r="H3570" s="2" t="s">
        <v>36</v>
      </c>
      <c r="I3570" s="2" t="s">
        <v>8494</v>
      </c>
      <c r="J3570" s="3" t="str">
        <f>HYPERLINK("https://www.boe.es/gazeta/dias/1818/02/21/pdfs/GMD-1818-23.pdf#page=4","Abrir facsímil")</f>
        <v>Abrir facsímil</v>
      </c>
      <c r="K3570" s="3" t="s">
        <v>38</v>
      </c>
    </row>
    <row r="3571" spans="1:11" ht="42" customHeight="1">
      <c r="A3571" s="2" t="s">
        <v>8495</v>
      </c>
      <c r="B3571" s="2" t="s">
        <v>8495</v>
      </c>
      <c r="C3571" s="2" t="s">
        <v>26</v>
      </c>
      <c r="D3571" s="2" t="s">
        <v>27</v>
      </c>
      <c r="E3571" s="5">
        <v>-29694</v>
      </c>
      <c r="F3571" s="3" t="s">
        <v>528</v>
      </c>
      <c r="G3571" s="3" t="s">
        <v>29</v>
      </c>
      <c r="H3571" s="2" t="s">
        <v>36</v>
      </c>
      <c r="I3571" s="2" t="s">
        <v>8496</v>
      </c>
      <c r="J3571" s="3" t="str">
        <f>HYPERLINK("https://www.boe.es/gazeta/dias/1818/09/12/pdfs/GMD-1818-110.pdf#page=4","Abrir facsímil")</f>
        <v>Abrir facsímil</v>
      </c>
      <c r="K3571" s="3" t="s">
        <v>38</v>
      </c>
    </row>
    <row r="3572" spans="1:11" ht="42" customHeight="1">
      <c r="A3572" s="2" t="s">
        <v>8497</v>
      </c>
      <c r="B3572" s="2" t="s">
        <v>8498</v>
      </c>
      <c r="C3572" s="2" t="s">
        <v>26</v>
      </c>
      <c r="D3572" s="2" t="s">
        <v>27</v>
      </c>
      <c r="E3572" s="5">
        <v>-29694</v>
      </c>
      <c r="F3572" s="3" t="s">
        <v>528</v>
      </c>
      <c r="G3572" s="3" t="s">
        <v>29</v>
      </c>
      <c r="H3572" s="2" t="s">
        <v>36</v>
      </c>
      <c r="I3572" s="2" t="s">
        <v>8499</v>
      </c>
      <c r="J3572" s="3" t="str">
        <f>HYPERLINK("https://www.boe.es/gazeta/dias/1818/09/12/pdfs/GMD-1818-110.pdf#page=4","Abrir facsímil")</f>
        <v>Abrir facsímil</v>
      </c>
      <c r="K3572" s="3" t="s">
        <v>38</v>
      </c>
    </row>
    <row r="3573" spans="1:11" ht="42" customHeight="1">
      <c r="A3573" s="2" t="s">
        <v>8497</v>
      </c>
      <c r="B3573" s="2" t="s">
        <v>8498</v>
      </c>
      <c r="C3573" s="2" t="s">
        <v>26</v>
      </c>
      <c r="D3573" s="2" t="s">
        <v>27</v>
      </c>
      <c r="E3573" s="5">
        <v>-29694</v>
      </c>
      <c r="F3573" s="3" t="s">
        <v>528</v>
      </c>
      <c r="G3573" s="3" t="s">
        <v>106</v>
      </c>
      <c r="H3573" s="2" t="s">
        <v>36</v>
      </c>
      <c r="I3573" s="2" t="s">
        <v>8500</v>
      </c>
      <c r="J3573" s="3" t="str">
        <f>HYPERLINK("https://www.boe.es/gazeta/dias/1818/09/12/pdfs/GMD-1818-110.pdf#page=5","Abrir facsímil")</f>
        <v>Abrir facsímil</v>
      </c>
      <c r="K3573" s="3" t="s">
        <v>38</v>
      </c>
    </row>
    <row r="3574" spans="1:11" ht="42" customHeight="1">
      <c r="A3574" s="2" t="s">
        <v>8497</v>
      </c>
      <c r="B3574" s="2" t="s">
        <v>8498</v>
      </c>
      <c r="C3574" s="2" t="s">
        <v>26</v>
      </c>
      <c r="D3574" s="2" t="s">
        <v>27</v>
      </c>
      <c r="E3574" s="5">
        <v>-29605</v>
      </c>
      <c r="F3574" s="3" t="s">
        <v>888</v>
      </c>
      <c r="G3574" s="3" t="s">
        <v>106</v>
      </c>
      <c r="H3574" s="2" t="s">
        <v>36</v>
      </c>
      <c r="I3574" s="2" t="s">
        <v>8501</v>
      </c>
      <c r="J3574" s="3" t="str">
        <f>HYPERLINK("https://www.boe.es/gazeta/dias/1818/12/10/pdfs/GMD-1818-149.pdf#page=5","Abrir facsímil")</f>
        <v>Abrir facsímil</v>
      </c>
      <c r="K3574" s="3" t="s">
        <v>38</v>
      </c>
    </row>
    <row r="3575" spans="1:11" ht="42" customHeight="1">
      <c r="A3575" s="2" t="s">
        <v>8502</v>
      </c>
      <c r="B3575" s="2" t="s">
        <v>8503</v>
      </c>
      <c r="C3575" s="2" t="s">
        <v>26</v>
      </c>
      <c r="D3575" s="2" t="s">
        <v>27</v>
      </c>
      <c r="E3575" s="5">
        <v>-29691</v>
      </c>
      <c r="F3575" s="3" t="s">
        <v>144</v>
      </c>
      <c r="G3575" s="3" t="s">
        <v>29</v>
      </c>
      <c r="H3575" s="2" t="s">
        <v>36</v>
      </c>
      <c r="I3575" s="2" t="s">
        <v>8504</v>
      </c>
      <c r="J3575" s="3" t="str">
        <f>HYPERLINK("https://www.boe.es/gazeta/dias/1818/09/15/pdfs/GMD-1818-111.pdf#page=4","Abrir facsímil")</f>
        <v>Abrir facsímil</v>
      </c>
      <c r="K3575" s="3" t="s">
        <v>38</v>
      </c>
    </row>
    <row r="3576" spans="1:11" ht="42" customHeight="1">
      <c r="A3576" s="2" t="s">
        <v>8505</v>
      </c>
      <c r="B3576" s="2" t="s">
        <v>8505</v>
      </c>
      <c r="C3576" s="2" t="s">
        <v>17</v>
      </c>
      <c r="D3576" s="2" t="s">
        <v>18</v>
      </c>
      <c r="E3576" s="5">
        <v>-29911</v>
      </c>
      <c r="F3576" s="3" t="s">
        <v>509</v>
      </c>
      <c r="G3576" s="3" t="s">
        <v>20</v>
      </c>
      <c r="H3576" s="2" t="s">
        <v>36</v>
      </c>
      <c r="I3576" s="2" t="s">
        <v>8506</v>
      </c>
      <c r="J3576" s="3" t="str">
        <f>HYPERLINK("https://www.boe.es/gazeta/dias/1818/02/07/pdfs/GMD-1818-17.pdf#page=7","Abrir facsímil")</f>
        <v>Abrir facsímil</v>
      </c>
      <c r="K3576" s="3" t="s">
        <v>38</v>
      </c>
    </row>
    <row r="3577" spans="1:11" ht="42" customHeight="1">
      <c r="A3577" s="2" t="s">
        <v>8505</v>
      </c>
      <c r="B3577" s="2" t="s">
        <v>8505</v>
      </c>
      <c r="C3577" s="2" t="s">
        <v>26</v>
      </c>
      <c r="D3577" s="2" t="s">
        <v>27</v>
      </c>
      <c r="E3577" s="5">
        <v>-29845</v>
      </c>
      <c r="F3577" s="3" t="s">
        <v>105</v>
      </c>
      <c r="G3577" s="3" t="s">
        <v>20</v>
      </c>
      <c r="H3577" s="2" t="s">
        <v>36</v>
      </c>
      <c r="I3577" s="2" t="s">
        <v>8507</v>
      </c>
      <c r="J3577" s="3" t="str">
        <f>HYPERLINK("https://www.boe.es/gazeta/dias/1818/04/14/pdfs/GMD-1818-45.pdf#page=7","Abrir facsímil")</f>
        <v>Abrir facsímil</v>
      </c>
      <c r="K3577" s="3" t="s">
        <v>38</v>
      </c>
    </row>
    <row r="3578" spans="1:11" ht="42" customHeight="1">
      <c r="A3578" s="2" t="s">
        <v>8505</v>
      </c>
      <c r="B3578" s="2" t="s">
        <v>8505</v>
      </c>
      <c r="C3578" s="2" t="s">
        <v>26</v>
      </c>
      <c r="D3578" s="2" t="s">
        <v>27</v>
      </c>
      <c r="E3578" s="5">
        <v>-29796</v>
      </c>
      <c r="F3578" s="3" t="s">
        <v>1359</v>
      </c>
      <c r="G3578" s="3" t="s">
        <v>120</v>
      </c>
      <c r="H3578" s="2" t="s">
        <v>36</v>
      </c>
      <c r="I3578" s="2" t="s">
        <v>8508</v>
      </c>
      <c r="J3578" s="3" t="str">
        <f>HYPERLINK("https://www.boe.es/gazeta/dias/1818/06/02/pdfs/GMD-1818-66.pdf#page=2","Abrir facsímil")</f>
        <v>Abrir facsímil</v>
      </c>
      <c r="K3578" s="3" t="s">
        <v>38</v>
      </c>
    </row>
    <row r="3579" spans="1:11" ht="42" customHeight="1">
      <c r="A3579" s="2" t="s">
        <v>8509</v>
      </c>
      <c r="B3579" s="2" t="s">
        <v>8510</v>
      </c>
      <c r="C3579" s="2" t="s">
        <v>17</v>
      </c>
      <c r="D3579" s="2" t="s">
        <v>18</v>
      </c>
      <c r="E3579" s="5">
        <v>-29708</v>
      </c>
      <c r="F3579" s="3" t="s">
        <v>413</v>
      </c>
      <c r="G3579" s="3" t="s">
        <v>106</v>
      </c>
      <c r="H3579" s="2" t="s">
        <v>36</v>
      </c>
      <c r="I3579" s="2" t="s">
        <v>8511</v>
      </c>
      <c r="J3579" s="3" t="str">
        <f>HYPERLINK("https://www.boe.es/gazeta/dias/1818/08/29/pdfs/GMD-1818-104.pdf#page=5","Abrir facsímil")</f>
        <v>Abrir facsímil</v>
      </c>
      <c r="K3579" s="3" t="s">
        <v>38</v>
      </c>
    </row>
    <row r="3580" spans="1:11" ht="42" customHeight="1">
      <c r="A3580" s="2" t="s">
        <v>8512</v>
      </c>
      <c r="B3580" s="2" t="s">
        <v>8513</v>
      </c>
      <c r="C3580" s="2" t="s">
        <v>63</v>
      </c>
      <c r="D3580" s="2" t="s">
        <v>18</v>
      </c>
      <c r="E3580" s="5">
        <v>-29883</v>
      </c>
      <c r="F3580" s="3" t="s">
        <v>823</v>
      </c>
      <c r="G3580" s="3" t="s">
        <v>45</v>
      </c>
      <c r="H3580" s="2" t="s">
        <v>36</v>
      </c>
      <c r="I3580" s="2" t="s">
        <v>8514</v>
      </c>
      <c r="J3580" s="3" t="str">
        <f>HYPERLINK("https://www.boe.es/gazeta/dias/1818/03/07/pdfs/GMD-1818-29.pdf#page=8","Abrir facsímil")</f>
        <v>Abrir facsímil</v>
      </c>
      <c r="K3580" s="3" t="s">
        <v>38</v>
      </c>
    </row>
    <row r="3581" spans="1:11" ht="42" customHeight="1">
      <c r="A3581" s="2" t="s">
        <v>8515</v>
      </c>
      <c r="B3581" s="2" t="s">
        <v>8516</v>
      </c>
      <c r="C3581" s="2" t="s">
        <v>33</v>
      </c>
      <c r="D3581" s="2" t="s">
        <v>18</v>
      </c>
      <c r="E3581" s="5">
        <v>-29698</v>
      </c>
      <c r="F3581" s="3" t="s">
        <v>148</v>
      </c>
      <c r="G3581" s="3" t="s">
        <v>20</v>
      </c>
      <c r="H3581" s="2" t="s">
        <v>21</v>
      </c>
      <c r="I3581" s="2" t="s">
        <v>8517</v>
      </c>
      <c r="J3581" s="3" t="str">
        <f>HYPERLINK("https://www.boe.es/gazeta/dias/1818/09/08/pdfs/GMD-1818-108.pdf#page=7","Abrir facsímil")</f>
        <v>Abrir facsímil</v>
      </c>
      <c r="K3581" s="3" t="s">
        <v>23</v>
      </c>
    </row>
    <row r="3582" spans="1:11" ht="42" customHeight="1">
      <c r="A3582" s="2" t="s">
        <v>8518</v>
      </c>
      <c r="B3582" s="2" t="s">
        <v>8519</v>
      </c>
      <c r="C3582" s="2" t="s">
        <v>17</v>
      </c>
      <c r="D3582" s="2" t="s">
        <v>18</v>
      </c>
      <c r="E3582" s="5">
        <v>-29698</v>
      </c>
      <c r="F3582" s="3" t="s">
        <v>148</v>
      </c>
      <c r="G3582" s="3" t="s">
        <v>106</v>
      </c>
      <c r="H3582" s="2" t="s">
        <v>36</v>
      </c>
      <c r="I3582" s="2" t="s">
        <v>8520</v>
      </c>
      <c r="J3582" s="3" t="str">
        <f>HYPERLINK("https://www.boe.es/gazeta/dias/1818/09/08/pdfs/GMD-1818-108.pdf#page=5","Abrir facsímil")</f>
        <v>Abrir facsímil</v>
      </c>
      <c r="K3582" s="3" t="s">
        <v>38</v>
      </c>
    </row>
    <row r="3583" spans="1:11" ht="42" customHeight="1">
      <c r="A3583" s="2" t="s">
        <v>8521</v>
      </c>
      <c r="B3583" s="2" t="s">
        <v>8522</v>
      </c>
      <c r="C3583" s="2" t="s">
        <v>17</v>
      </c>
      <c r="D3583" s="2" t="s">
        <v>18</v>
      </c>
      <c r="E3583" s="5">
        <v>-29698</v>
      </c>
      <c r="F3583" s="3" t="s">
        <v>148</v>
      </c>
      <c r="G3583" s="3" t="s">
        <v>106</v>
      </c>
      <c r="H3583" s="2" t="s">
        <v>36</v>
      </c>
      <c r="I3583" s="2" t="s">
        <v>8523</v>
      </c>
      <c r="J3583" s="3" t="str">
        <f>HYPERLINK("https://www.boe.es/gazeta/dias/1818/09/08/pdfs/GMD-1818-108.pdf#page=5","Abrir facsímil")</f>
        <v>Abrir facsímil</v>
      </c>
      <c r="K3583" s="3" t="s">
        <v>38</v>
      </c>
    </row>
    <row r="3584" spans="1:11" ht="42" customHeight="1">
      <c r="A3584" s="2" t="s">
        <v>8524</v>
      </c>
      <c r="B3584" s="2" t="s">
        <v>8525</v>
      </c>
      <c r="C3584" s="2" t="s">
        <v>26</v>
      </c>
      <c r="D3584" s="2" t="s">
        <v>27</v>
      </c>
      <c r="E3584" s="5">
        <v>-29904</v>
      </c>
      <c r="F3584" s="3" t="s">
        <v>451</v>
      </c>
      <c r="G3584" s="3" t="s">
        <v>45</v>
      </c>
      <c r="H3584" s="2" t="s">
        <v>36</v>
      </c>
      <c r="I3584" s="2" t="s">
        <v>8526</v>
      </c>
      <c r="J3584" s="3" t="str">
        <f>HYPERLINK("https://www.boe.es/gazeta/dias/1818/02/14/pdfs/GMD-1818-20.pdf#page=8","Abrir facsímil")</f>
        <v>Abrir facsímil</v>
      </c>
      <c r="K3584" s="3" t="s">
        <v>38</v>
      </c>
    </row>
    <row r="3585" spans="1:11" ht="42" customHeight="1">
      <c r="A3585" s="2" t="s">
        <v>8527</v>
      </c>
      <c r="B3585" s="2" t="s">
        <v>8528</v>
      </c>
      <c r="C3585" s="2" t="s">
        <v>68</v>
      </c>
      <c r="D3585" s="2" t="s">
        <v>69</v>
      </c>
      <c r="E3585" s="5">
        <v>-29799</v>
      </c>
      <c r="F3585" s="3" t="s">
        <v>135</v>
      </c>
      <c r="G3585" s="3" t="s">
        <v>20</v>
      </c>
      <c r="H3585" s="2" t="s">
        <v>36</v>
      </c>
      <c r="I3585" s="2" t="s">
        <v>8529</v>
      </c>
      <c r="J3585" s="3" t="str">
        <f>HYPERLINK("https://www.boe.es/gazeta/dias/1818/05/30/pdfs/GMD-1818-65.pdf#page=7","Abrir facsímil")</f>
        <v>Abrir facsímil</v>
      </c>
      <c r="K3585" s="3" t="s">
        <v>38</v>
      </c>
    </row>
    <row r="3586" spans="1:11" ht="42" customHeight="1">
      <c r="A3586" s="2" t="s">
        <v>8527</v>
      </c>
      <c r="B3586" s="2" t="s">
        <v>8528</v>
      </c>
      <c r="C3586" s="2" t="s">
        <v>68</v>
      </c>
      <c r="D3586" s="2" t="s">
        <v>69</v>
      </c>
      <c r="E3586" s="5">
        <v>-29710</v>
      </c>
      <c r="F3586" s="3" t="s">
        <v>1026</v>
      </c>
      <c r="G3586" s="3" t="s">
        <v>1626</v>
      </c>
      <c r="H3586" s="2" t="s">
        <v>36</v>
      </c>
      <c r="I3586" s="2" t="s">
        <v>8530</v>
      </c>
      <c r="J3586" s="3" t="str">
        <f>HYPERLINK("https://www.boe.es/gazeta/dias/1818/08/27/pdfs/GMD-1818-103.pdf#page=8","Abrir facsímil")</f>
        <v>Abrir facsímil</v>
      </c>
      <c r="K3586" s="3" t="s">
        <v>38</v>
      </c>
    </row>
    <row r="3587" spans="1:11" ht="42" customHeight="1">
      <c r="A3587" s="2" t="s">
        <v>8531</v>
      </c>
      <c r="B3587" s="2" t="s">
        <v>8532</v>
      </c>
      <c r="C3587" s="2" t="s">
        <v>17</v>
      </c>
      <c r="D3587" s="2" t="s">
        <v>18</v>
      </c>
      <c r="E3587" s="5">
        <v>-29680</v>
      </c>
      <c r="F3587" s="3" t="s">
        <v>865</v>
      </c>
      <c r="G3587" s="3" t="s">
        <v>45</v>
      </c>
      <c r="H3587" s="2" t="s">
        <v>36</v>
      </c>
      <c r="I3587" s="2" t="s">
        <v>8533</v>
      </c>
      <c r="J3587" s="3" t="str">
        <f>HYPERLINK("https://www.boe.es/gazeta/dias/1818/09/26/pdfs/GMD-1818-116.pdf#page=8","Abrir facsímil")</f>
        <v>Abrir facsímil</v>
      </c>
      <c r="K3587" s="3" t="s">
        <v>38</v>
      </c>
    </row>
    <row r="3588" spans="1:11" ht="42" customHeight="1">
      <c r="A3588" s="2" t="s">
        <v>8534</v>
      </c>
      <c r="B3588" s="2" t="s">
        <v>8535</v>
      </c>
      <c r="C3588" s="2" t="s">
        <v>57</v>
      </c>
      <c r="D3588" s="2" t="s">
        <v>18</v>
      </c>
      <c r="E3588" s="5">
        <v>-29659</v>
      </c>
      <c r="F3588" s="3" t="s">
        <v>1690</v>
      </c>
      <c r="G3588" s="3" t="s">
        <v>1691</v>
      </c>
      <c r="H3588" s="2" t="s">
        <v>36</v>
      </c>
      <c r="I3588" s="2" t="s">
        <v>8536</v>
      </c>
      <c r="J3588" s="3" t="str">
        <f>HYPERLINK("https://www.boe.es/gazeta/dias/1818/10/17/pdfs/GMD-1818-126.pdf#page=8","Abrir facsímil")</f>
        <v>Abrir facsímil</v>
      </c>
      <c r="K3588" s="3" t="s">
        <v>38</v>
      </c>
    </row>
    <row r="3589" spans="1:11" ht="42" customHeight="1">
      <c r="A3589" s="2" t="s">
        <v>8537</v>
      </c>
      <c r="B3589" s="2" t="s">
        <v>8538</v>
      </c>
      <c r="C3589" s="2" t="s">
        <v>26</v>
      </c>
      <c r="D3589" s="2" t="s">
        <v>27</v>
      </c>
      <c r="E3589" s="5">
        <v>-29750</v>
      </c>
      <c r="F3589" s="3" t="s">
        <v>384</v>
      </c>
      <c r="G3589" s="3" t="s">
        <v>59</v>
      </c>
      <c r="H3589" s="2" t="s">
        <v>36</v>
      </c>
      <c r="I3589" s="2" t="s">
        <v>8539</v>
      </c>
      <c r="J3589" s="3" t="str">
        <f>HYPERLINK("https://www.boe.es/gazeta/dias/1818/07/18/pdfs/GMD-1818-86.pdf#page=6","Abrir facsímil")</f>
        <v>Abrir facsímil</v>
      </c>
      <c r="K3589" s="3" t="s">
        <v>38</v>
      </c>
    </row>
    <row r="3590" spans="1:11" ht="42" customHeight="1">
      <c r="A3590" s="2" t="s">
        <v>8540</v>
      </c>
      <c r="B3590" s="2" t="s">
        <v>8541</v>
      </c>
      <c r="C3590" s="2" t="s">
        <v>26</v>
      </c>
      <c r="D3590" s="2" t="s">
        <v>27</v>
      </c>
      <c r="E3590" s="5">
        <v>-29843</v>
      </c>
      <c r="F3590" s="3" t="s">
        <v>182</v>
      </c>
      <c r="G3590" s="3" t="s">
        <v>20</v>
      </c>
      <c r="H3590" s="2" t="s">
        <v>36</v>
      </c>
      <c r="I3590" s="2" t="s">
        <v>8542</v>
      </c>
      <c r="J3590" s="3" t="str">
        <f>HYPERLINK("https://www.boe.es/gazeta/dias/1818/04/16/pdfs/GMD-1818-46.pdf#page=7","Abrir facsímil")</f>
        <v>Abrir facsímil</v>
      </c>
      <c r="K3590" s="3" t="s">
        <v>38</v>
      </c>
    </row>
    <row r="3591" spans="1:11" ht="42" customHeight="1">
      <c r="A3591" s="2" t="s">
        <v>8543</v>
      </c>
      <c r="B3591" s="2" t="s">
        <v>8544</v>
      </c>
      <c r="C3591" s="2" t="s">
        <v>17</v>
      </c>
      <c r="D3591" s="2" t="s">
        <v>18</v>
      </c>
      <c r="E3591" s="5">
        <v>-29750</v>
      </c>
      <c r="F3591" s="3" t="s">
        <v>384</v>
      </c>
      <c r="G3591" s="3" t="s">
        <v>59</v>
      </c>
      <c r="H3591" s="2" t="s">
        <v>36</v>
      </c>
      <c r="I3591" s="2" t="s">
        <v>8545</v>
      </c>
      <c r="J3591" s="3" t="str">
        <f>HYPERLINK("https://www.boe.es/gazeta/dias/1818/07/18/pdfs/GMD-1818-86.pdf#page=6","Abrir facsímil")</f>
        <v>Abrir facsímil</v>
      </c>
      <c r="K3591" s="3" t="s">
        <v>38</v>
      </c>
    </row>
    <row r="3592" spans="1:11" ht="42" customHeight="1">
      <c r="A3592" s="2" t="s">
        <v>8546</v>
      </c>
      <c r="B3592" s="2" t="s">
        <v>8547</v>
      </c>
      <c r="C3592" s="2" t="s">
        <v>17</v>
      </c>
      <c r="D3592" s="2" t="s">
        <v>18</v>
      </c>
      <c r="E3592" s="5">
        <v>-29698</v>
      </c>
      <c r="F3592" s="3" t="s">
        <v>148</v>
      </c>
      <c r="G3592" s="3" t="s">
        <v>29</v>
      </c>
      <c r="H3592" s="2" t="s">
        <v>36</v>
      </c>
      <c r="I3592" s="2" t="s">
        <v>8548</v>
      </c>
      <c r="J3592" s="3" t="str">
        <f>HYPERLINK("https://www.boe.es/gazeta/dias/1818/09/08/pdfs/GMD-1818-108.pdf#page=4","Abrir facsímil")</f>
        <v>Abrir facsímil</v>
      </c>
      <c r="K3592" s="3" t="s">
        <v>38</v>
      </c>
    </row>
    <row r="3593" spans="1:11" ht="42" customHeight="1">
      <c r="A3593" s="2" t="s">
        <v>8549</v>
      </c>
      <c r="B3593" s="2" t="s">
        <v>8550</v>
      </c>
      <c r="C3593" s="2" t="s">
        <v>26</v>
      </c>
      <c r="D3593" s="2" t="s">
        <v>27</v>
      </c>
      <c r="E3593" s="5">
        <v>-29801</v>
      </c>
      <c r="F3593" s="3" t="s">
        <v>288</v>
      </c>
      <c r="G3593" s="3" t="s">
        <v>49</v>
      </c>
      <c r="H3593" s="2" t="s">
        <v>36</v>
      </c>
      <c r="I3593" s="2" t="s">
        <v>8551</v>
      </c>
      <c r="J3593" s="3" t="str">
        <f>HYPERLINK("https://www.boe.es/gazeta/dias/1818/05/28/pdfs/GMD-1818-64.pdf#page=1","Abrir facsímil")</f>
        <v>Abrir facsímil</v>
      </c>
      <c r="K3593" s="3" t="s">
        <v>38</v>
      </c>
    </row>
    <row r="3594" spans="1:11" ht="42" customHeight="1">
      <c r="A3594" s="2" t="s">
        <v>8552</v>
      </c>
      <c r="B3594" s="2" t="s">
        <v>8553</v>
      </c>
      <c r="C3594" s="2" t="s">
        <v>26</v>
      </c>
      <c r="D3594" s="2" t="s">
        <v>27</v>
      </c>
      <c r="E3594" s="5">
        <v>-29801</v>
      </c>
      <c r="F3594" s="3" t="s">
        <v>288</v>
      </c>
      <c r="G3594" s="3" t="s">
        <v>49</v>
      </c>
      <c r="H3594" s="2" t="s">
        <v>36</v>
      </c>
      <c r="I3594" s="2" t="s">
        <v>8554</v>
      </c>
      <c r="J3594" s="3" t="str">
        <f>HYPERLINK("https://www.boe.es/gazeta/dias/1818/05/28/pdfs/GMD-1818-64.pdf#page=1","Abrir facsímil")</f>
        <v>Abrir facsímil</v>
      </c>
      <c r="K3594" s="3" t="s">
        <v>38</v>
      </c>
    </row>
    <row r="3595" spans="1:11" ht="42" customHeight="1">
      <c r="A3595" s="2" t="s">
        <v>8555</v>
      </c>
      <c r="B3595" s="2" t="s">
        <v>8556</v>
      </c>
      <c r="C3595" s="2" t="s">
        <v>26</v>
      </c>
      <c r="D3595" s="2" t="s">
        <v>27</v>
      </c>
      <c r="E3595" s="5">
        <v>-29691</v>
      </c>
      <c r="F3595" s="3" t="s">
        <v>144</v>
      </c>
      <c r="G3595" s="3" t="s">
        <v>45</v>
      </c>
      <c r="H3595" s="2" t="s">
        <v>36</v>
      </c>
      <c r="I3595" s="2" t="s">
        <v>8557</v>
      </c>
      <c r="J3595" s="3" t="str">
        <f>HYPERLINK("https://www.boe.es/gazeta/dias/1818/09/15/pdfs/GMD-1818-111.pdf#page=8","Abrir facsímil")</f>
        <v>Abrir facsímil</v>
      </c>
      <c r="K3595" s="3" t="s">
        <v>38</v>
      </c>
    </row>
    <row r="3596" spans="1:11" ht="42" customHeight="1">
      <c r="A3596" s="2" t="s">
        <v>8558</v>
      </c>
      <c r="B3596" s="2" t="s">
        <v>8559</v>
      </c>
      <c r="C3596" s="2" t="s">
        <v>17</v>
      </c>
      <c r="D3596" s="2" t="s">
        <v>18</v>
      </c>
      <c r="E3596" s="5">
        <v>-29708</v>
      </c>
      <c r="F3596" s="3" t="s">
        <v>413</v>
      </c>
      <c r="G3596" s="3" t="s">
        <v>106</v>
      </c>
      <c r="H3596" s="2" t="s">
        <v>36</v>
      </c>
      <c r="I3596" s="2" t="s">
        <v>8560</v>
      </c>
      <c r="J3596" s="3" t="str">
        <f>HYPERLINK("https://www.boe.es/gazeta/dias/1818/08/29/pdfs/GMD-1818-104.pdf#page=5","Abrir facsímil")</f>
        <v>Abrir facsímil</v>
      </c>
      <c r="K3596" s="3" t="s">
        <v>38</v>
      </c>
    </row>
    <row r="3597" spans="1:11" ht="42" customHeight="1">
      <c r="A3597" s="2" t="s">
        <v>8561</v>
      </c>
      <c r="B3597" s="2" t="s">
        <v>8562</v>
      </c>
      <c r="C3597" s="2" t="s">
        <v>26</v>
      </c>
      <c r="D3597" s="2" t="s">
        <v>27</v>
      </c>
      <c r="E3597" s="5">
        <v>-29801</v>
      </c>
      <c r="F3597" s="3" t="s">
        <v>288</v>
      </c>
      <c r="G3597" s="3" t="s">
        <v>49</v>
      </c>
      <c r="H3597" s="2" t="s">
        <v>36</v>
      </c>
      <c r="I3597" s="2" t="s">
        <v>8563</v>
      </c>
      <c r="J3597" s="3" t="str">
        <f>HYPERLINK("https://www.boe.es/gazeta/dias/1818/05/28/pdfs/GMD-1818-64.pdf#page=1","Abrir facsímil")</f>
        <v>Abrir facsímil</v>
      </c>
      <c r="K3597" s="3" t="s">
        <v>38</v>
      </c>
    </row>
    <row r="3598" spans="1:11" ht="42" customHeight="1">
      <c r="A3598" s="2" t="s">
        <v>8564</v>
      </c>
      <c r="B3598" s="2" t="s">
        <v>8565</v>
      </c>
      <c r="C3598" s="2" t="s">
        <v>26</v>
      </c>
      <c r="D3598" s="2" t="s">
        <v>27</v>
      </c>
      <c r="E3598" s="5">
        <v>-29899</v>
      </c>
      <c r="F3598" s="3" t="s">
        <v>232</v>
      </c>
      <c r="G3598" s="3" t="s">
        <v>5574</v>
      </c>
      <c r="H3598" s="2" t="s">
        <v>36</v>
      </c>
      <c r="I3598" s="2" t="s">
        <v>8566</v>
      </c>
      <c r="J3598" s="3" t="str">
        <f>HYPERLINK("https://www.boe.es/gazeta/dias/1818/02/19/pdfs/GMD-1818-22.pdf#page=5","Abrir facsímil")</f>
        <v>Abrir facsímil</v>
      </c>
      <c r="K3598" s="3" t="s">
        <v>38</v>
      </c>
    </row>
    <row r="3599" spans="1:11" ht="42" customHeight="1">
      <c r="A3599" s="2" t="s">
        <v>8567</v>
      </c>
      <c r="B3599" s="2" t="s">
        <v>8567</v>
      </c>
      <c r="C3599" s="2" t="s">
        <v>26</v>
      </c>
      <c r="D3599" s="2" t="s">
        <v>27</v>
      </c>
      <c r="E3599" s="5">
        <v>-29635</v>
      </c>
      <c r="F3599" s="3" t="s">
        <v>560</v>
      </c>
      <c r="G3599" s="3" t="s">
        <v>49</v>
      </c>
      <c r="H3599" s="2" t="s">
        <v>36</v>
      </c>
      <c r="I3599" s="2" t="s">
        <v>8568</v>
      </c>
      <c r="J3599" s="3" t="str">
        <f>HYPERLINK("https://www.boe.es/gazeta/dias/1818/11/10/pdfs/GMD-1818-136.pdf#page=1","Abrir facsímil")</f>
        <v>Abrir facsímil</v>
      </c>
      <c r="K3599" s="3" t="s">
        <v>38</v>
      </c>
    </row>
    <row r="3600" spans="1:11" ht="42" customHeight="1">
      <c r="A3600" s="2" t="s">
        <v>8569</v>
      </c>
      <c r="B3600" s="2" t="s">
        <v>8570</v>
      </c>
      <c r="C3600" s="2" t="s">
        <v>68</v>
      </c>
      <c r="D3600" s="2" t="s">
        <v>69</v>
      </c>
      <c r="E3600" s="5">
        <v>-29894</v>
      </c>
      <c r="F3600" s="3" t="s">
        <v>820</v>
      </c>
      <c r="G3600" s="3" t="s">
        <v>59</v>
      </c>
      <c r="H3600" s="2" t="s">
        <v>36</v>
      </c>
      <c r="I3600" s="2" t="s">
        <v>8571</v>
      </c>
      <c r="J3600" s="3" t="str">
        <f>HYPERLINK("https://www.boe.es/gazeta/dias/1818/02/24/pdfs/GMD-1818-24.pdf#page=6","Abrir facsímil")</f>
        <v>Abrir facsímil</v>
      </c>
      <c r="K3600" s="3" t="s">
        <v>38</v>
      </c>
    </row>
    <row r="3601" spans="1:11" ht="42" customHeight="1">
      <c r="A3601" s="2" t="s">
        <v>8572</v>
      </c>
      <c r="B3601" s="2" t="s">
        <v>8573</v>
      </c>
      <c r="C3601" s="2" t="s">
        <v>26</v>
      </c>
      <c r="D3601" s="2" t="s">
        <v>27</v>
      </c>
      <c r="E3601" s="5">
        <v>-29878</v>
      </c>
      <c r="F3601" s="3" t="s">
        <v>353</v>
      </c>
      <c r="G3601" s="3" t="s">
        <v>106</v>
      </c>
      <c r="H3601" s="2" t="s">
        <v>36</v>
      </c>
      <c r="I3601" s="2" t="s">
        <v>8574</v>
      </c>
      <c r="J3601" s="3" t="str">
        <f>HYPERLINK("https://www.boe.es/gazeta/dias/1818/03/12/pdfs/GMD-1818-31.pdf#page=5","Abrir facsímil")</f>
        <v>Abrir facsímil</v>
      </c>
      <c r="K3601" s="3" t="s">
        <v>38</v>
      </c>
    </row>
    <row r="3602" spans="1:11" ht="42" customHeight="1">
      <c r="A3602" s="2" t="s">
        <v>8575</v>
      </c>
      <c r="B3602" s="2" t="s">
        <v>8576</v>
      </c>
      <c r="C3602" s="2" t="s">
        <v>68</v>
      </c>
      <c r="D3602" s="2" t="s">
        <v>69</v>
      </c>
      <c r="E3602" s="5">
        <v>-29929</v>
      </c>
      <c r="F3602" s="3" t="s">
        <v>204</v>
      </c>
      <c r="G3602" s="3" t="s">
        <v>45</v>
      </c>
      <c r="H3602" s="2" t="s">
        <v>36</v>
      </c>
      <c r="I3602" s="2" t="s">
        <v>8577</v>
      </c>
      <c r="J3602" s="3" t="str">
        <f>HYPERLINK("https://www.boe.es/gazeta/dias/1818/01/20/pdfs/GMD-1818-9.pdf#page=8","Abrir facsímil")</f>
        <v>Abrir facsímil</v>
      </c>
      <c r="K3602" s="3" t="s">
        <v>38</v>
      </c>
    </row>
    <row r="3603" spans="1:11" ht="42" customHeight="1">
      <c r="A3603" s="2" t="s">
        <v>8578</v>
      </c>
      <c r="B3603" s="2" t="s">
        <v>8578</v>
      </c>
      <c r="C3603" s="2" t="s">
        <v>26</v>
      </c>
      <c r="D3603" s="2" t="s">
        <v>27</v>
      </c>
      <c r="E3603" s="5">
        <v>-29948</v>
      </c>
      <c r="F3603" s="3" t="s">
        <v>199</v>
      </c>
      <c r="G3603" s="3" t="s">
        <v>106</v>
      </c>
      <c r="H3603" s="2" t="s">
        <v>36</v>
      </c>
      <c r="I3603" s="2" t="s">
        <v>8579</v>
      </c>
      <c r="J3603" s="3" t="str">
        <f>HYPERLINK("https://www.boe.es/gazeta/dias/1818/01/01/pdfs/GMD-1818-1.pdf#page=5","Abrir facsímil")</f>
        <v>Abrir facsímil</v>
      </c>
      <c r="K3603" s="3" t="s">
        <v>38</v>
      </c>
    </row>
    <row r="3604" spans="1:11" ht="42" customHeight="1">
      <c r="A3604" s="2" t="s">
        <v>8580</v>
      </c>
      <c r="B3604" s="2" t="s">
        <v>8581</v>
      </c>
      <c r="C3604" s="2" t="s">
        <v>26</v>
      </c>
      <c r="D3604" s="2" t="s">
        <v>27</v>
      </c>
      <c r="E3604" s="5">
        <v>-29645</v>
      </c>
      <c r="F3604" s="3" t="s">
        <v>577</v>
      </c>
      <c r="G3604" s="3" t="s">
        <v>106</v>
      </c>
      <c r="H3604" s="2" t="s">
        <v>21</v>
      </c>
      <c r="I3604" s="2" t="s">
        <v>8582</v>
      </c>
      <c r="J3604" s="3" t="str">
        <f>HYPERLINK("https://www.boe.es/gazeta/dias/1818/10/31/pdfs/GMD-1818-132.pdf#page=5","Abrir facsímil")</f>
        <v>Abrir facsímil</v>
      </c>
      <c r="K3604" s="3" t="s">
        <v>23</v>
      </c>
    </row>
    <row r="3605" spans="1:11" ht="42" customHeight="1">
      <c r="A3605" s="2" t="s">
        <v>8583</v>
      </c>
      <c r="B3605" s="2" t="s">
        <v>8584</v>
      </c>
      <c r="C3605" s="2" t="s">
        <v>26</v>
      </c>
      <c r="D3605" s="2" t="s">
        <v>27</v>
      </c>
      <c r="E3605" s="5">
        <v>-29649</v>
      </c>
      <c r="F3605" s="3" t="s">
        <v>585</v>
      </c>
      <c r="G3605" s="3" t="s">
        <v>106</v>
      </c>
      <c r="H3605" s="2" t="s">
        <v>36</v>
      </c>
      <c r="I3605" s="2" t="s">
        <v>8585</v>
      </c>
      <c r="J3605" s="3" t="str">
        <f>HYPERLINK("https://www.boe.es/gazeta/dias/1818/10/27/pdfs/GMD-1818-130.pdf#page=5","Abrir facsímil")</f>
        <v>Abrir facsímil</v>
      </c>
      <c r="K3605" s="3" t="s">
        <v>38</v>
      </c>
    </row>
    <row r="3606" spans="1:11" ht="42" customHeight="1">
      <c r="A3606" s="2" t="s">
        <v>8586</v>
      </c>
      <c r="B3606" s="2" t="s">
        <v>8587</v>
      </c>
      <c r="C3606" s="2" t="s">
        <v>17</v>
      </c>
      <c r="D3606" s="2" t="s">
        <v>18</v>
      </c>
      <c r="E3606" s="5">
        <v>-29880</v>
      </c>
      <c r="F3606" s="3" t="s">
        <v>359</v>
      </c>
      <c r="G3606" s="3" t="s">
        <v>1221</v>
      </c>
      <c r="H3606" s="2" t="s">
        <v>36</v>
      </c>
      <c r="I3606" s="2" t="s">
        <v>8588</v>
      </c>
      <c r="J3606" s="3" t="str">
        <f>HYPERLINK("https://www.boe.es/gazeta/dias/1818/03/10/pdfs/GMD-1818-30.pdf#page=8","Abrir facsímil")</f>
        <v>Abrir facsímil</v>
      </c>
      <c r="K3606" s="3" t="s">
        <v>38</v>
      </c>
    </row>
    <row r="3607" spans="1:11" ht="42" customHeight="1">
      <c r="A3607" s="2" t="s">
        <v>8586</v>
      </c>
      <c r="B3607" s="2" t="s">
        <v>8587</v>
      </c>
      <c r="C3607" s="2" t="s">
        <v>68</v>
      </c>
      <c r="D3607" s="2" t="s">
        <v>69</v>
      </c>
      <c r="E3607" s="5">
        <v>-29845</v>
      </c>
      <c r="F3607" s="3" t="s">
        <v>105</v>
      </c>
      <c r="G3607" s="3" t="s">
        <v>45</v>
      </c>
      <c r="H3607" s="2" t="s">
        <v>36</v>
      </c>
      <c r="I3607" s="2" t="s">
        <v>8589</v>
      </c>
      <c r="J3607" s="3" t="str">
        <f>HYPERLINK("https://www.boe.es/gazeta/dias/1818/04/14/pdfs/GMD-1818-45.pdf#page=8","Abrir facsímil")</f>
        <v>Abrir facsímil</v>
      </c>
      <c r="K3607" s="3" t="s">
        <v>38</v>
      </c>
    </row>
    <row r="3608" spans="1:11" ht="42" customHeight="1">
      <c r="A3608" s="2" t="s">
        <v>8586</v>
      </c>
      <c r="B3608" s="2" t="s">
        <v>8587</v>
      </c>
      <c r="C3608" s="2" t="s">
        <v>68</v>
      </c>
      <c r="D3608" s="2" t="s">
        <v>69</v>
      </c>
      <c r="E3608" s="5">
        <v>-29815</v>
      </c>
      <c r="F3608" s="3" t="s">
        <v>2169</v>
      </c>
      <c r="G3608" s="3" t="s">
        <v>45</v>
      </c>
      <c r="H3608" s="2" t="s">
        <v>36</v>
      </c>
      <c r="I3608" s="2" t="s">
        <v>8590</v>
      </c>
      <c r="J3608" s="3" t="str">
        <f>HYPERLINK("https://www.boe.es/gazeta/dias/1818/05/14/pdfs/GMD-1818-58.pdf#page=8","Abrir facsímil")</f>
        <v>Abrir facsímil</v>
      </c>
      <c r="K3608" s="3" t="s">
        <v>38</v>
      </c>
    </row>
    <row r="3609" spans="1:11" ht="42" customHeight="1">
      <c r="A3609" s="2" t="s">
        <v>8586</v>
      </c>
      <c r="B3609" s="2" t="s">
        <v>8587</v>
      </c>
      <c r="C3609" s="2" t="s">
        <v>68</v>
      </c>
      <c r="D3609" s="2" t="s">
        <v>69</v>
      </c>
      <c r="E3609" s="5">
        <v>-29771</v>
      </c>
      <c r="F3609" s="3" t="s">
        <v>1260</v>
      </c>
      <c r="G3609" s="3" t="s">
        <v>45</v>
      </c>
      <c r="H3609" s="2" t="s">
        <v>36</v>
      </c>
      <c r="I3609" s="2" t="s">
        <v>8591</v>
      </c>
      <c r="J3609" s="3" t="str">
        <f>HYPERLINK("https://www.boe.es/gazeta/dias/1818/06/27/pdfs/GMD-1818-77.pdf#page=8","Abrir facsímil")</f>
        <v>Abrir facsímil</v>
      </c>
      <c r="K3609" s="3" t="s">
        <v>38</v>
      </c>
    </row>
    <row r="3610" spans="1:11" ht="42" customHeight="1">
      <c r="A3610" s="2" t="s">
        <v>8592</v>
      </c>
      <c r="B3610" s="2" t="s">
        <v>8593</v>
      </c>
      <c r="C3610" s="2" t="s">
        <v>26</v>
      </c>
      <c r="D3610" s="2" t="s">
        <v>27</v>
      </c>
      <c r="E3610" s="5">
        <v>-29806</v>
      </c>
      <c r="F3610" s="3" t="s">
        <v>84</v>
      </c>
      <c r="G3610" s="3" t="s">
        <v>29</v>
      </c>
      <c r="H3610" s="2" t="s">
        <v>36</v>
      </c>
      <c r="I3610" s="2" t="s">
        <v>8594</v>
      </c>
      <c r="J3610" s="3" t="str">
        <f>HYPERLINK("https://www.boe.es/gazeta/dias/1818/05/23/pdfs/GMD-1818-62.pdf#page=4","Abrir facsímil")</f>
        <v>Abrir facsímil</v>
      </c>
      <c r="K3610" s="3" t="s">
        <v>38</v>
      </c>
    </row>
    <row r="3611" spans="1:11" ht="42" customHeight="1">
      <c r="A3611" s="2" t="s">
        <v>8595</v>
      </c>
      <c r="B3611" s="2" t="s">
        <v>8595</v>
      </c>
      <c r="C3611" s="2" t="s">
        <v>63</v>
      </c>
      <c r="D3611" s="2" t="s">
        <v>18</v>
      </c>
      <c r="E3611" s="5">
        <v>-29927</v>
      </c>
      <c r="F3611" s="3" t="s">
        <v>1381</v>
      </c>
      <c r="G3611" s="3" t="s">
        <v>45</v>
      </c>
      <c r="H3611" s="2" t="s">
        <v>36</v>
      </c>
      <c r="I3611" s="2" t="s">
        <v>8596</v>
      </c>
      <c r="J3611" s="3" t="str">
        <f>HYPERLINK("https://www.boe.es/gazeta/dias/1818/01/22/pdfs/GMD-1818-10.pdf#page=8","Abrir facsímil")</f>
        <v>Abrir facsímil</v>
      </c>
      <c r="K3611" s="3" t="s">
        <v>38</v>
      </c>
    </row>
    <row r="3612" spans="1:11" ht="42" customHeight="1">
      <c r="A3612" s="2" t="s">
        <v>8597</v>
      </c>
      <c r="B3612" s="2" t="s">
        <v>8598</v>
      </c>
      <c r="C3612" s="2" t="s">
        <v>26</v>
      </c>
      <c r="D3612" s="2" t="s">
        <v>27</v>
      </c>
      <c r="E3612" s="5">
        <v>-29666</v>
      </c>
      <c r="F3612" s="3" t="s">
        <v>258</v>
      </c>
      <c r="G3612" s="3" t="s">
        <v>49</v>
      </c>
      <c r="H3612" s="2" t="s">
        <v>36</v>
      </c>
      <c r="I3612" s="2" t="s">
        <v>8599</v>
      </c>
      <c r="J3612" s="3" t="str">
        <f>HYPERLINK("https://www.boe.es/gazeta/dias/1818/10/10/pdfs/GMD-1818-122.pdf#page=1","Abrir facsímil")</f>
        <v>Abrir facsímil</v>
      </c>
      <c r="K3612" s="3" t="s">
        <v>38</v>
      </c>
    </row>
    <row r="3613" spans="1:11" ht="42" customHeight="1">
      <c r="A3613" s="2" t="s">
        <v>8600</v>
      </c>
      <c r="B3613" s="2" t="s">
        <v>8601</v>
      </c>
      <c r="C3613" s="2" t="s">
        <v>26</v>
      </c>
      <c r="D3613" s="2" t="s">
        <v>27</v>
      </c>
      <c r="E3613" s="5">
        <v>-29596</v>
      </c>
      <c r="F3613" s="3" t="s">
        <v>555</v>
      </c>
      <c r="G3613" s="3" t="s">
        <v>556</v>
      </c>
      <c r="H3613" s="2" t="s">
        <v>36</v>
      </c>
      <c r="I3613" s="2" t="s">
        <v>8602</v>
      </c>
      <c r="J3613" s="3" t="str">
        <f>HYPERLINK("https://www.boe.es/gazeta/dias/1818/12/19/pdfs/GMD-1818-153.pdf#page=4","Abrir facsímil")</f>
        <v>Abrir facsímil</v>
      </c>
      <c r="K3613" s="3" t="s">
        <v>38</v>
      </c>
    </row>
    <row r="3614" spans="1:11" ht="42" customHeight="1">
      <c r="A3614" s="2" t="s">
        <v>8603</v>
      </c>
      <c r="B3614" s="2" t="s">
        <v>8604</v>
      </c>
      <c r="C3614" s="2" t="s">
        <v>63</v>
      </c>
      <c r="D3614" s="2" t="s">
        <v>18</v>
      </c>
      <c r="E3614" s="5">
        <v>-29771</v>
      </c>
      <c r="F3614" s="3" t="s">
        <v>1260</v>
      </c>
      <c r="G3614" s="3" t="s">
        <v>45</v>
      </c>
      <c r="H3614" s="2" t="s">
        <v>36</v>
      </c>
      <c r="I3614" s="2" t="s">
        <v>8605</v>
      </c>
      <c r="J3614" s="3" t="str">
        <f>HYPERLINK("https://www.boe.es/gazeta/dias/1818/06/27/pdfs/GMD-1818-77.pdf#page=8","Abrir facsímil")</f>
        <v>Abrir facsímil</v>
      </c>
      <c r="K3614" s="3" t="s">
        <v>38</v>
      </c>
    </row>
    <row r="3615" spans="1:11" ht="42" customHeight="1">
      <c r="A3615" s="2" t="s">
        <v>8606</v>
      </c>
      <c r="B3615" s="2" t="s">
        <v>8607</v>
      </c>
      <c r="C3615" s="2" t="s">
        <v>26</v>
      </c>
      <c r="D3615" s="2" t="s">
        <v>27</v>
      </c>
      <c r="E3615" s="5">
        <v>-29913</v>
      </c>
      <c r="F3615" s="3" t="s">
        <v>449</v>
      </c>
      <c r="G3615" s="3" t="s">
        <v>59</v>
      </c>
      <c r="H3615" s="2" t="s">
        <v>36</v>
      </c>
      <c r="I3615" s="2" t="s">
        <v>8608</v>
      </c>
      <c r="J3615" s="3" t="str">
        <f>HYPERLINK("https://www.boe.es/gazeta/dias/1818/02/05/pdfs/GMD-1818-16.pdf#page=6","Abrir facsímil")</f>
        <v>Abrir facsímil</v>
      </c>
      <c r="K3615" s="3" t="s">
        <v>38</v>
      </c>
    </row>
    <row r="3616" spans="1:11" ht="42" customHeight="1">
      <c r="A3616" s="2" t="s">
        <v>8609</v>
      </c>
      <c r="B3616" s="2" t="s">
        <v>8610</v>
      </c>
      <c r="C3616" s="2" t="s">
        <v>17</v>
      </c>
      <c r="D3616" s="2" t="s">
        <v>18</v>
      </c>
      <c r="E3616" s="5">
        <v>-29929</v>
      </c>
      <c r="F3616" s="3" t="s">
        <v>204</v>
      </c>
      <c r="G3616" s="3" t="s">
        <v>106</v>
      </c>
      <c r="H3616" s="2" t="s">
        <v>36</v>
      </c>
      <c r="I3616" s="2" t="s">
        <v>8611</v>
      </c>
      <c r="J3616" s="3" t="str">
        <f>HYPERLINK("https://www.boe.es/gazeta/dias/1818/01/20/pdfs/GMD-1818-9.pdf#page=5","Abrir facsímil")</f>
        <v>Abrir facsímil</v>
      </c>
      <c r="K3616" s="3" t="s">
        <v>38</v>
      </c>
    </row>
    <row r="3617" spans="1:11" ht="42" customHeight="1">
      <c r="A3617" s="2" t="s">
        <v>8612</v>
      </c>
      <c r="B3617" s="2" t="s">
        <v>8613</v>
      </c>
      <c r="C3617" s="2" t="s">
        <v>68</v>
      </c>
      <c r="D3617" s="2" t="s">
        <v>69</v>
      </c>
      <c r="E3617" s="5">
        <v>-29834</v>
      </c>
      <c r="F3617" s="3" t="s">
        <v>457</v>
      </c>
      <c r="G3617" s="3" t="s">
        <v>458</v>
      </c>
      <c r="H3617" s="2" t="s">
        <v>36</v>
      </c>
      <c r="I3617" s="2" t="s">
        <v>8614</v>
      </c>
      <c r="J3617" s="3" t="str">
        <f>HYPERLINK("https://www.boe.es/gazeta/dias/1818/04/25/pdfs/GMD-1818-50.pdf#page=8","Abrir facsímil")</f>
        <v>Abrir facsímil</v>
      </c>
      <c r="K3617" s="3" t="s">
        <v>38</v>
      </c>
    </row>
    <row r="3618" spans="1:11" ht="42" customHeight="1">
      <c r="A3618" s="2" t="s">
        <v>8615</v>
      </c>
      <c r="B3618" s="2" t="s">
        <v>8616</v>
      </c>
      <c r="C3618" s="2" t="s">
        <v>68</v>
      </c>
      <c r="D3618" s="2" t="s">
        <v>69</v>
      </c>
      <c r="E3618" s="5">
        <v>-29941</v>
      </c>
      <c r="F3618" s="3" t="s">
        <v>2259</v>
      </c>
      <c r="G3618" s="3" t="s">
        <v>2871</v>
      </c>
      <c r="H3618" s="2" t="s">
        <v>36</v>
      </c>
      <c r="I3618" s="2" t="s">
        <v>8617</v>
      </c>
      <c r="J3618" s="3" t="str">
        <f>HYPERLINK("https://www.boe.es/gazeta/dias/1818/01/08/pdfs/GMD-1818-4.pdf#page=8","Abrir facsímil")</f>
        <v>Abrir facsímil</v>
      </c>
      <c r="K3618" s="3" t="s">
        <v>38</v>
      </c>
    </row>
    <row r="3619" spans="1:11" ht="42" customHeight="1">
      <c r="A3619" s="2" t="s">
        <v>8615</v>
      </c>
      <c r="B3619" s="2" t="s">
        <v>8616</v>
      </c>
      <c r="C3619" s="2" t="s">
        <v>68</v>
      </c>
      <c r="D3619" s="2" t="s">
        <v>69</v>
      </c>
      <c r="E3619" s="5">
        <v>-29880</v>
      </c>
      <c r="F3619" s="3" t="s">
        <v>359</v>
      </c>
      <c r="G3619" s="3" t="s">
        <v>20</v>
      </c>
      <c r="H3619" s="2" t="s">
        <v>36</v>
      </c>
      <c r="I3619" s="2" t="s">
        <v>8618</v>
      </c>
      <c r="J3619" s="3" t="str">
        <f>HYPERLINK("https://www.boe.es/gazeta/dias/1818/03/10/pdfs/GMD-1818-30.pdf#page=7","Abrir facsímil")</f>
        <v>Abrir facsímil</v>
      </c>
      <c r="K3619" s="3" t="s">
        <v>38</v>
      </c>
    </row>
    <row r="3620" spans="1:11" ht="42" customHeight="1">
      <c r="A3620" s="2" t="s">
        <v>8615</v>
      </c>
      <c r="B3620" s="2" t="s">
        <v>8616</v>
      </c>
      <c r="C3620" s="2" t="s">
        <v>26</v>
      </c>
      <c r="D3620" s="2" t="s">
        <v>27</v>
      </c>
      <c r="E3620" s="5">
        <v>-29803</v>
      </c>
      <c r="F3620" s="3" t="s">
        <v>1393</v>
      </c>
      <c r="G3620" s="3" t="s">
        <v>45</v>
      </c>
      <c r="H3620" s="2" t="s">
        <v>36</v>
      </c>
      <c r="I3620" s="2" t="s">
        <v>8619</v>
      </c>
      <c r="J3620" s="3" t="str">
        <f>HYPERLINK("https://www.boe.es/gazeta/dias/1818/05/26/pdfs/GMD-1818-63.pdf#page=8","Abrir facsímil")</f>
        <v>Abrir facsímil</v>
      </c>
      <c r="K3620" s="3" t="s">
        <v>38</v>
      </c>
    </row>
    <row r="3621" spans="1:11" ht="42" customHeight="1">
      <c r="A3621" s="2" t="s">
        <v>8615</v>
      </c>
      <c r="B3621" s="2" t="s">
        <v>8616</v>
      </c>
      <c r="C3621" s="2" t="s">
        <v>26</v>
      </c>
      <c r="D3621" s="2" t="s">
        <v>27</v>
      </c>
      <c r="E3621" s="5">
        <v>-29766</v>
      </c>
      <c r="F3621" s="3" t="s">
        <v>276</v>
      </c>
      <c r="G3621" s="3" t="s">
        <v>45</v>
      </c>
      <c r="H3621" s="2" t="s">
        <v>36</v>
      </c>
      <c r="I3621" s="2" t="s">
        <v>8620</v>
      </c>
      <c r="J3621" s="3" t="str">
        <f>HYPERLINK("https://www.boe.es/gazeta/dias/1818/07/02/pdfs/GMD-1818-79.pdf#page=8","Abrir facsímil")</f>
        <v>Abrir facsímil</v>
      </c>
      <c r="K3621" s="3" t="s">
        <v>38</v>
      </c>
    </row>
    <row r="3622" spans="1:11" ht="42" customHeight="1">
      <c r="A3622" s="2" t="s">
        <v>8615</v>
      </c>
      <c r="B3622" s="2" t="s">
        <v>8616</v>
      </c>
      <c r="C3622" s="2" t="s">
        <v>97</v>
      </c>
      <c r="D3622" s="2" t="s">
        <v>18</v>
      </c>
      <c r="E3622" s="5">
        <v>-29729</v>
      </c>
      <c r="F3622" s="3" t="s">
        <v>488</v>
      </c>
      <c r="G3622" s="3" t="s">
        <v>489</v>
      </c>
      <c r="H3622" s="2" t="s">
        <v>36</v>
      </c>
      <c r="I3622" s="2" t="s">
        <v>8621</v>
      </c>
      <c r="J3622" s="3" t="str">
        <f>HYPERLINK("https://www.boe.es/gazeta/dias/1818/08/08/pdfs/GMD-1818-95.pdf#page=8","Abrir facsímil")</f>
        <v>Abrir facsímil</v>
      </c>
      <c r="K3622" s="3" t="s">
        <v>38</v>
      </c>
    </row>
    <row r="3623" spans="1:11" ht="42" customHeight="1">
      <c r="A3623" s="2" t="s">
        <v>8615</v>
      </c>
      <c r="B3623" s="2" t="s">
        <v>8616</v>
      </c>
      <c r="C3623" s="2" t="s">
        <v>68</v>
      </c>
      <c r="D3623" s="2" t="s">
        <v>69</v>
      </c>
      <c r="E3623" s="5">
        <v>-29684</v>
      </c>
      <c r="F3623" s="3" t="s">
        <v>311</v>
      </c>
      <c r="G3623" s="3" t="s">
        <v>45</v>
      </c>
      <c r="H3623" s="2" t="s">
        <v>36</v>
      </c>
      <c r="I3623" s="2" t="s">
        <v>8622</v>
      </c>
      <c r="J3623" s="3" t="str">
        <f>HYPERLINK("https://www.boe.es/gazeta/dias/1818/09/22/pdfs/GMD-1818-114.pdf#page=8","Abrir facsímil")</f>
        <v>Abrir facsímil</v>
      </c>
      <c r="K3623" s="3" t="s">
        <v>38</v>
      </c>
    </row>
    <row r="3624" spans="1:11" ht="42" customHeight="1">
      <c r="A3624" s="2" t="s">
        <v>8615</v>
      </c>
      <c r="B3624" s="2" t="s">
        <v>8616</v>
      </c>
      <c r="C3624" s="2" t="s">
        <v>68</v>
      </c>
      <c r="D3624" s="2" t="s">
        <v>69</v>
      </c>
      <c r="E3624" s="5">
        <v>-29677</v>
      </c>
      <c r="F3624" s="3" t="s">
        <v>157</v>
      </c>
      <c r="G3624" s="3" t="s">
        <v>158</v>
      </c>
      <c r="H3624" s="2" t="s">
        <v>36</v>
      </c>
      <c r="I3624" s="2" t="s">
        <v>8623</v>
      </c>
      <c r="J3624" s="3" t="str">
        <f>HYPERLINK("https://www.boe.es/gazeta/dias/1818/09/29/pdfs/GMD-1818-117.pdf#page=8","Abrir facsímil")</f>
        <v>Abrir facsímil</v>
      </c>
      <c r="K3624" s="3" t="s">
        <v>38</v>
      </c>
    </row>
    <row r="3625" spans="1:11" ht="42" customHeight="1">
      <c r="A3625" s="2" t="s">
        <v>8615</v>
      </c>
      <c r="B3625" s="2" t="s">
        <v>8616</v>
      </c>
      <c r="C3625" s="2" t="s">
        <v>68</v>
      </c>
      <c r="D3625" s="2" t="s">
        <v>69</v>
      </c>
      <c r="E3625" s="5">
        <v>-29673</v>
      </c>
      <c r="F3625" s="3" t="s">
        <v>1099</v>
      </c>
      <c r="G3625" s="3" t="s">
        <v>45</v>
      </c>
      <c r="H3625" s="2" t="s">
        <v>36</v>
      </c>
      <c r="I3625" s="2" t="s">
        <v>8624</v>
      </c>
      <c r="J3625" s="3" t="str">
        <f>HYPERLINK("https://www.boe.es/gazeta/dias/1818/10/03/pdfs/GMD-1818-119.pdf#page=8","Abrir facsímil")</f>
        <v>Abrir facsímil</v>
      </c>
      <c r="K3625" s="3" t="s">
        <v>38</v>
      </c>
    </row>
    <row r="3626" spans="1:11" ht="42" customHeight="1">
      <c r="A3626" s="2" t="s">
        <v>8615</v>
      </c>
      <c r="B3626" s="2" t="s">
        <v>8616</v>
      </c>
      <c r="C3626" s="2" t="s">
        <v>26</v>
      </c>
      <c r="D3626" s="2" t="s">
        <v>27</v>
      </c>
      <c r="E3626" s="5">
        <v>-29631</v>
      </c>
      <c r="F3626" s="3" t="s">
        <v>743</v>
      </c>
      <c r="G3626" s="3" t="s">
        <v>3691</v>
      </c>
      <c r="H3626" s="2" t="s">
        <v>36</v>
      </c>
      <c r="I3626" s="2" t="s">
        <v>8625</v>
      </c>
      <c r="J3626" s="3" t="str">
        <f>HYPERLINK("https://www.boe.es/gazeta/dias/1818/11/14/pdfs/GMD-1818-138.pdf#page=8","Abrir facsímil")</f>
        <v>Abrir facsímil</v>
      </c>
      <c r="K3626" s="3" t="s">
        <v>38</v>
      </c>
    </row>
    <row r="3627" spans="1:11" ht="42" customHeight="1">
      <c r="A3627" s="2" t="s">
        <v>8615</v>
      </c>
      <c r="B3627" s="2" t="s">
        <v>8616</v>
      </c>
      <c r="C3627" s="2" t="s">
        <v>68</v>
      </c>
      <c r="D3627" s="2" t="s">
        <v>69</v>
      </c>
      <c r="E3627" s="5">
        <v>-29619</v>
      </c>
      <c r="F3627" s="3" t="s">
        <v>64</v>
      </c>
      <c r="G3627" s="3" t="s">
        <v>45</v>
      </c>
      <c r="H3627" s="2" t="s">
        <v>36</v>
      </c>
      <c r="I3627" s="2" t="s">
        <v>8626</v>
      </c>
      <c r="J3627" s="3" t="str">
        <f>HYPERLINK("https://www.boe.es/gazeta/dias/1818/11/26/pdfs/GMD-1818-143.pdf#page=8","Abrir facsímil")</f>
        <v>Abrir facsímil</v>
      </c>
      <c r="K3627" s="3" t="s">
        <v>38</v>
      </c>
    </row>
    <row r="3628" spans="1:11" ht="42" customHeight="1">
      <c r="A3628" s="2" t="s">
        <v>8615</v>
      </c>
      <c r="B3628" s="2" t="s">
        <v>8616</v>
      </c>
      <c r="C3628" s="2" t="s">
        <v>68</v>
      </c>
      <c r="D3628" s="2" t="s">
        <v>69</v>
      </c>
      <c r="E3628" s="5">
        <v>-29612</v>
      </c>
      <c r="F3628" s="3" t="s">
        <v>1765</v>
      </c>
      <c r="G3628" s="3" t="s">
        <v>45</v>
      </c>
      <c r="H3628" s="2" t="s">
        <v>36</v>
      </c>
      <c r="I3628" s="2" t="s">
        <v>8627</v>
      </c>
      <c r="J3628" s="3" t="str">
        <f>HYPERLINK("https://www.boe.es/gazeta/dias/1818/12/03/pdfs/GMD-1818-146.pdf#page=8","Abrir facsímil")</f>
        <v>Abrir facsímil</v>
      </c>
      <c r="K3628" s="3" t="s">
        <v>38</v>
      </c>
    </row>
    <row r="3629" spans="1:11" ht="42" customHeight="1">
      <c r="A3629" s="2" t="s">
        <v>8615</v>
      </c>
      <c r="B3629" s="2" t="s">
        <v>8616</v>
      </c>
      <c r="C3629" s="2" t="s">
        <v>68</v>
      </c>
      <c r="D3629" s="2" t="s">
        <v>69</v>
      </c>
      <c r="E3629" s="5">
        <v>-29603</v>
      </c>
      <c r="F3629" s="3" t="s">
        <v>647</v>
      </c>
      <c r="G3629" s="3" t="s">
        <v>45</v>
      </c>
      <c r="H3629" s="2" t="s">
        <v>36</v>
      </c>
      <c r="I3629" s="2" t="s">
        <v>8628</v>
      </c>
      <c r="J3629" s="3" t="str">
        <f>HYPERLINK("https://www.boe.es/gazeta/dias/1818/12/12/pdfs/GMD-1818-150.pdf#page=8","Abrir facsímil")</f>
        <v>Abrir facsímil</v>
      </c>
      <c r="K3629" s="3" t="s">
        <v>38</v>
      </c>
    </row>
    <row r="3630" spans="1:11" ht="42" customHeight="1">
      <c r="A3630" s="2" t="s">
        <v>8629</v>
      </c>
      <c r="B3630" s="2" t="s">
        <v>8629</v>
      </c>
      <c r="C3630" s="2" t="s">
        <v>26</v>
      </c>
      <c r="D3630" s="2" t="s">
        <v>27</v>
      </c>
      <c r="E3630" s="5">
        <v>-29750</v>
      </c>
      <c r="F3630" s="3" t="s">
        <v>384</v>
      </c>
      <c r="G3630" s="3" t="s">
        <v>503</v>
      </c>
      <c r="H3630" s="2" t="s">
        <v>36</v>
      </c>
      <c r="I3630" s="2" t="s">
        <v>8630</v>
      </c>
      <c r="J3630" s="3" t="str">
        <f>HYPERLINK("https://www.boe.es/gazeta/dias/1818/07/18/pdfs/GMD-1818-86.pdf#page=10","Abrir facsímil")</f>
        <v>Abrir facsímil</v>
      </c>
      <c r="K3630" s="3" t="s">
        <v>38</v>
      </c>
    </row>
    <row r="3631" spans="1:11" ht="42" customHeight="1">
      <c r="A3631" s="2" t="s">
        <v>8631</v>
      </c>
      <c r="B3631" s="2" t="s">
        <v>8632</v>
      </c>
      <c r="C3631" s="2" t="s">
        <v>57</v>
      </c>
      <c r="D3631" s="2" t="s">
        <v>18</v>
      </c>
      <c r="E3631" s="5">
        <v>-29892</v>
      </c>
      <c r="F3631" s="3" t="s">
        <v>39</v>
      </c>
      <c r="G3631" s="3" t="s">
        <v>40</v>
      </c>
      <c r="H3631" s="2" t="s">
        <v>36</v>
      </c>
      <c r="I3631" s="2" t="s">
        <v>8633</v>
      </c>
      <c r="J3631" s="3" t="str">
        <f>HYPERLINK("https://www.boe.es/gazeta/dias/1818/02/26/pdfs/GMD-1818-25.pdf#page=8","Abrir facsímil")</f>
        <v>Abrir facsímil</v>
      </c>
      <c r="K3631" s="3" t="s">
        <v>38</v>
      </c>
    </row>
    <row r="3632" spans="1:11" ht="42" customHeight="1">
      <c r="A3632" s="2" t="s">
        <v>8634</v>
      </c>
      <c r="B3632" s="2" t="s">
        <v>8635</v>
      </c>
      <c r="C3632" s="2" t="s">
        <v>68</v>
      </c>
      <c r="D3632" s="2" t="s">
        <v>69</v>
      </c>
      <c r="E3632" s="5">
        <v>-29694</v>
      </c>
      <c r="F3632" s="3" t="s">
        <v>528</v>
      </c>
      <c r="G3632" s="3" t="s">
        <v>29</v>
      </c>
      <c r="H3632" s="2" t="s">
        <v>36</v>
      </c>
      <c r="I3632" s="2" t="s">
        <v>8636</v>
      </c>
      <c r="J3632" s="3" t="str">
        <f>HYPERLINK("https://www.boe.es/gazeta/dias/1818/09/12/pdfs/GMD-1818-110.pdf#page=4","Abrir facsímil")</f>
        <v>Abrir facsímil</v>
      </c>
      <c r="K3632" s="3" t="s">
        <v>38</v>
      </c>
    </row>
    <row r="3633" spans="1:11" ht="42" customHeight="1">
      <c r="A3633" s="2" t="s">
        <v>8637</v>
      </c>
      <c r="B3633" s="2" t="s">
        <v>8638</v>
      </c>
      <c r="C3633" s="2" t="s">
        <v>26</v>
      </c>
      <c r="D3633" s="2" t="s">
        <v>27</v>
      </c>
      <c r="E3633" s="5">
        <v>-29666</v>
      </c>
      <c r="F3633" s="3" t="s">
        <v>258</v>
      </c>
      <c r="G3633" s="3" t="s">
        <v>59</v>
      </c>
      <c r="H3633" s="2" t="s">
        <v>36</v>
      </c>
      <c r="I3633" s="2" t="s">
        <v>8639</v>
      </c>
      <c r="J3633" s="3" t="str">
        <f>HYPERLINK("https://www.boe.es/gazeta/dias/1818/10/10/pdfs/GMD-1818-122.pdf#page=6","Abrir facsímil")</f>
        <v>Abrir facsímil</v>
      </c>
      <c r="K3633" s="3" t="s">
        <v>38</v>
      </c>
    </row>
    <row r="3634" spans="1:11" ht="42" customHeight="1">
      <c r="A3634" s="2" t="s">
        <v>8640</v>
      </c>
      <c r="B3634" s="2" t="s">
        <v>8641</v>
      </c>
      <c r="C3634" s="2" t="s">
        <v>26</v>
      </c>
      <c r="D3634" s="2" t="s">
        <v>27</v>
      </c>
      <c r="E3634" s="5">
        <v>-29897</v>
      </c>
      <c r="F3634" s="3" t="s">
        <v>318</v>
      </c>
      <c r="G3634" s="3" t="s">
        <v>106</v>
      </c>
      <c r="H3634" s="2" t="s">
        <v>36</v>
      </c>
      <c r="I3634" s="2" t="s">
        <v>8642</v>
      </c>
      <c r="J3634" s="3" t="str">
        <f>HYPERLINK("https://www.boe.es/gazeta/dias/1818/02/21/pdfs/GMD-1818-23.pdf#page=5","Abrir facsímil")</f>
        <v>Abrir facsímil</v>
      </c>
      <c r="K3634" s="3" t="s">
        <v>38</v>
      </c>
    </row>
    <row r="3635" spans="1:11" ht="42" customHeight="1">
      <c r="A3635" s="2" t="s">
        <v>8640</v>
      </c>
      <c r="B3635" s="2" t="s">
        <v>8641</v>
      </c>
      <c r="C3635" s="2" t="s">
        <v>26</v>
      </c>
      <c r="D3635" s="2" t="s">
        <v>27</v>
      </c>
      <c r="E3635" s="5">
        <v>-29887</v>
      </c>
      <c r="F3635" s="3" t="s">
        <v>613</v>
      </c>
      <c r="G3635" s="3" t="s">
        <v>59</v>
      </c>
      <c r="H3635" s="2" t="s">
        <v>36</v>
      </c>
      <c r="I3635" s="2" t="s">
        <v>8643</v>
      </c>
      <c r="J3635" s="3" t="str">
        <f>HYPERLINK("https://www.boe.es/gazeta/dias/1818/03/03/pdfs/GMD-1818-27.pdf#page=6","Abrir facsímil")</f>
        <v>Abrir facsímil</v>
      </c>
      <c r="K3635" s="3" t="s">
        <v>38</v>
      </c>
    </row>
    <row r="3636" spans="1:11" ht="42" customHeight="1">
      <c r="A3636" s="2" t="s">
        <v>8644</v>
      </c>
      <c r="B3636" s="2" t="s">
        <v>8645</v>
      </c>
      <c r="C3636" s="2" t="s">
        <v>26</v>
      </c>
      <c r="D3636" s="2" t="s">
        <v>27</v>
      </c>
      <c r="E3636" s="5">
        <v>-29794</v>
      </c>
      <c r="F3636" s="3" t="s">
        <v>127</v>
      </c>
      <c r="G3636" s="3" t="s">
        <v>20</v>
      </c>
      <c r="H3636" s="2" t="s">
        <v>36</v>
      </c>
      <c r="I3636" s="2" t="s">
        <v>8646</v>
      </c>
      <c r="J3636" s="3" t="str">
        <f>HYPERLINK("https://www.boe.es/gazeta/dias/1818/06/04/pdfs/GMD-1818-67.pdf#page=7","Abrir facsímil")</f>
        <v>Abrir facsímil</v>
      </c>
      <c r="K3636" s="3" t="s">
        <v>38</v>
      </c>
    </row>
    <row r="3637" spans="1:11" ht="42" customHeight="1">
      <c r="A3637" s="2" t="s">
        <v>8647</v>
      </c>
      <c r="B3637" s="2" t="s">
        <v>8648</v>
      </c>
      <c r="C3637" s="2" t="s">
        <v>17</v>
      </c>
      <c r="D3637" s="2" t="s">
        <v>18</v>
      </c>
      <c r="E3637" s="5">
        <v>-29880</v>
      </c>
      <c r="F3637" s="3" t="s">
        <v>359</v>
      </c>
      <c r="G3637" s="3" t="s">
        <v>20</v>
      </c>
      <c r="H3637" s="2" t="s">
        <v>36</v>
      </c>
      <c r="I3637" s="2" t="s">
        <v>8649</v>
      </c>
      <c r="J3637" s="3" t="str">
        <f>HYPERLINK("https://www.boe.es/gazeta/dias/1818/03/10/pdfs/GMD-1818-30.pdf#page=7","Abrir facsímil")</f>
        <v>Abrir facsímil</v>
      </c>
      <c r="K3637" s="3" t="s">
        <v>38</v>
      </c>
    </row>
    <row r="3638" spans="1:11" ht="42" customHeight="1">
      <c r="A3638" s="2" t="s">
        <v>8650</v>
      </c>
      <c r="B3638" s="2" t="s">
        <v>8651</v>
      </c>
      <c r="C3638" s="2" t="s">
        <v>26</v>
      </c>
      <c r="D3638" s="2" t="s">
        <v>27</v>
      </c>
      <c r="E3638" s="5">
        <v>-29794</v>
      </c>
      <c r="F3638" s="3" t="s">
        <v>127</v>
      </c>
      <c r="G3638" s="3" t="s">
        <v>20</v>
      </c>
      <c r="H3638" s="2" t="s">
        <v>36</v>
      </c>
      <c r="I3638" s="2" t="s">
        <v>8652</v>
      </c>
      <c r="J3638" s="3" t="str">
        <f>HYPERLINK("https://www.boe.es/gazeta/dias/1818/06/04/pdfs/GMD-1818-67.pdf#page=7","Abrir facsímil")</f>
        <v>Abrir facsímil</v>
      </c>
      <c r="K3638" s="3" t="s">
        <v>38</v>
      </c>
    </row>
    <row r="3639" spans="1:11" ht="42" customHeight="1">
      <c r="A3639" s="2" t="s">
        <v>8653</v>
      </c>
      <c r="B3639" s="2" t="s">
        <v>8654</v>
      </c>
      <c r="C3639" s="2" t="s">
        <v>68</v>
      </c>
      <c r="D3639" s="2" t="s">
        <v>69</v>
      </c>
      <c r="E3639" s="5">
        <v>-29771</v>
      </c>
      <c r="F3639" s="3" t="s">
        <v>1260</v>
      </c>
      <c r="G3639" s="3" t="s">
        <v>45</v>
      </c>
      <c r="H3639" s="2" t="s">
        <v>36</v>
      </c>
      <c r="I3639" s="2" t="s">
        <v>8655</v>
      </c>
      <c r="J3639" s="3" t="str">
        <f>HYPERLINK("https://www.boe.es/gazeta/dias/1818/06/27/pdfs/GMD-1818-77.pdf#page=8","Abrir facsímil")</f>
        <v>Abrir facsímil</v>
      </c>
      <c r="K3639" s="3" t="s">
        <v>38</v>
      </c>
    </row>
    <row r="3640" spans="1:11" ht="42" customHeight="1">
      <c r="A3640" s="2" t="s">
        <v>8656</v>
      </c>
      <c r="B3640" s="2" t="s">
        <v>8657</v>
      </c>
      <c r="C3640" s="2" t="s">
        <v>57</v>
      </c>
      <c r="D3640" s="2" t="s">
        <v>18</v>
      </c>
      <c r="E3640" s="5">
        <v>-29915</v>
      </c>
      <c r="F3640" s="3" t="s">
        <v>429</v>
      </c>
      <c r="G3640" s="3" t="s">
        <v>20</v>
      </c>
      <c r="H3640" s="2" t="s">
        <v>36</v>
      </c>
      <c r="I3640" s="2" t="s">
        <v>8658</v>
      </c>
      <c r="J3640" s="3" t="str">
        <f>HYPERLINK("https://www.boe.es/gazeta/dias/1818/02/03/pdfs/GMD-1818-15.pdf#page=7","Abrir facsímil")</f>
        <v>Abrir facsímil</v>
      </c>
      <c r="K3640" s="3" t="s">
        <v>38</v>
      </c>
    </row>
    <row r="3641" spans="1:11" ht="42" customHeight="1">
      <c r="A3641" s="2" t="s">
        <v>8659</v>
      </c>
      <c r="B3641" s="2" t="s">
        <v>8660</v>
      </c>
      <c r="C3641" s="2" t="s">
        <v>17</v>
      </c>
      <c r="D3641" s="2" t="s">
        <v>18</v>
      </c>
      <c r="E3641" s="5">
        <v>-29708</v>
      </c>
      <c r="F3641" s="3" t="s">
        <v>413</v>
      </c>
      <c r="G3641" s="3" t="s">
        <v>106</v>
      </c>
      <c r="H3641" s="2" t="s">
        <v>36</v>
      </c>
      <c r="I3641" s="2" t="s">
        <v>8661</v>
      </c>
      <c r="J3641" s="3" t="str">
        <f>HYPERLINK("https://www.boe.es/gazeta/dias/1818/08/29/pdfs/GMD-1818-104.pdf#page=5","Abrir facsímil")</f>
        <v>Abrir facsímil</v>
      </c>
      <c r="K3641" s="3" t="s">
        <v>38</v>
      </c>
    </row>
    <row r="3642" spans="1:11" ht="42" customHeight="1">
      <c r="A3642" s="2" t="s">
        <v>8662</v>
      </c>
      <c r="B3642" s="2" t="s">
        <v>8662</v>
      </c>
      <c r="C3642" s="2" t="s">
        <v>26</v>
      </c>
      <c r="D3642" s="2" t="s">
        <v>27</v>
      </c>
      <c r="E3642" s="5">
        <v>-29890</v>
      </c>
      <c r="F3642" s="3" t="s">
        <v>393</v>
      </c>
      <c r="G3642" s="3" t="s">
        <v>1096</v>
      </c>
      <c r="H3642" s="2" t="s">
        <v>36</v>
      </c>
      <c r="I3642" s="2" t="s">
        <v>8663</v>
      </c>
      <c r="J3642" s="3" t="str">
        <f>HYPERLINK("https://www.boe.es/gazeta/dias/1818/02/28/pdfs/GMD-1818-26.pdf#page=6","Abrir facsímil")</f>
        <v>Abrir facsímil</v>
      </c>
      <c r="K3642" s="3" t="s">
        <v>38</v>
      </c>
    </row>
    <row r="3643" spans="1:11" ht="42" customHeight="1">
      <c r="A3643" s="2" t="s">
        <v>8662</v>
      </c>
      <c r="B3643" s="2" t="s">
        <v>8662</v>
      </c>
      <c r="C3643" s="2" t="s">
        <v>26</v>
      </c>
      <c r="D3643" s="2" t="s">
        <v>27</v>
      </c>
      <c r="E3643" s="5">
        <v>-29694</v>
      </c>
      <c r="F3643" s="3" t="s">
        <v>528</v>
      </c>
      <c r="G3643" s="3" t="s">
        <v>29</v>
      </c>
      <c r="H3643" s="2" t="s">
        <v>36</v>
      </c>
      <c r="I3643" s="2" t="s">
        <v>8664</v>
      </c>
      <c r="J3643" s="3" t="str">
        <f>HYPERLINK("https://www.boe.es/gazeta/dias/1818/09/12/pdfs/GMD-1818-110.pdf#page=4","Abrir facsímil")</f>
        <v>Abrir facsímil</v>
      </c>
      <c r="K3643" s="3" t="s">
        <v>38</v>
      </c>
    </row>
    <row r="3644" spans="1:11" ht="42" customHeight="1">
      <c r="A3644" s="2" t="s">
        <v>8665</v>
      </c>
      <c r="B3644" s="2" t="s">
        <v>8666</v>
      </c>
      <c r="C3644" s="2" t="s">
        <v>33</v>
      </c>
      <c r="D3644" s="2" t="s">
        <v>18</v>
      </c>
      <c r="E3644" s="5">
        <v>-29659</v>
      </c>
      <c r="F3644" s="3" t="s">
        <v>1690</v>
      </c>
      <c r="G3644" s="3" t="s">
        <v>1691</v>
      </c>
      <c r="H3644" s="2" t="s">
        <v>36</v>
      </c>
      <c r="I3644" s="2" t="s">
        <v>8667</v>
      </c>
      <c r="J3644" s="3" t="str">
        <f>HYPERLINK("https://www.boe.es/gazeta/dias/1818/10/17/pdfs/GMD-1818-126.pdf#page=8","Abrir facsímil")</f>
        <v>Abrir facsímil</v>
      </c>
      <c r="K3644" s="3" t="s">
        <v>38</v>
      </c>
    </row>
    <row r="3645" spans="1:11" ht="42" customHeight="1">
      <c r="A3645" s="2" t="s">
        <v>8668</v>
      </c>
      <c r="B3645" s="2" t="s">
        <v>8669</v>
      </c>
      <c r="C3645" s="2" t="s">
        <v>68</v>
      </c>
      <c r="D3645" s="2" t="s">
        <v>69</v>
      </c>
      <c r="E3645" s="5">
        <v>-29703</v>
      </c>
      <c r="F3645" s="3" t="s">
        <v>294</v>
      </c>
      <c r="G3645" s="3" t="s">
        <v>29</v>
      </c>
      <c r="H3645" s="2" t="s">
        <v>36</v>
      </c>
      <c r="I3645" s="2" t="s">
        <v>8670</v>
      </c>
      <c r="J3645" s="3" t="str">
        <f>HYPERLINK("https://www.boe.es/gazeta/dias/1818/09/03/pdfs/GMD-1818-106.pdf#page=4","Abrir facsímil")</f>
        <v>Abrir facsímil</v>
      </c>
      <c r="K3645" s="3" t="s">
        <v>38</v>
      </c>
    </row>
    <row r="3646" spans="1:11" ht="42" customHeight="1">
      <c r="A3646" s="2" t="s">
        <v>8671</v>
      </c>
      <c r="B3646" s="2" t="s">
        <v>8672</v>
      </c>
      <c r="C3646" s="2" t="s">
        <v>26</v>
      </c>
      <c r="D3646" s="2" t="s">
        <v>27</v>
      </c>
      <c r="E3646" s="5">
        <v>-29764</v>
      </c>
      <c r="F3646" s="3" t="s">
        <v>464</v>
      </c>
      <c r="G3646" s="3" t="s">
        <v>59</v>
      </c>
      <c r="H3646" s="2" t="s">
        <v>36</v>
      </c>
      <c r="I3646" s="2" t="s">
        <v>8673</v>
      </c>
      <c r="J3646" s="3" t="str">
        <f>HYPERLINK("https://www.boe.es/gazeta/dias/1818/07/04/pdfs/GMD-1818-80.pdf#page=6","Abrir facsímil")</f>
        <v>Abrir facsímil</v>
      </c>
      <c r="K3646" s="3" t="s">
        <v>38</v>
      </c>
    </row>
    <row r="3647" spans="1:11" ht="42" customHeight="1">
      <c r="A3647" s="2" t="s">
        <v>8674</v>
      </c>
      <c r="B3647" s="2" t="s">
        <v>8675</v>
      </c>
      <c r="C3647" s="2" t="s">
        <v>26</v>
      </c>
      <c r="D3647" s="2" t="s">
        <v>27</v>
      </c>
      <c r="E3647" s="5">
        <v>-29890</v>
      </c>
      <c r="F3647" s="3" t="s">
        <v>393</v>
      </c>
      <c r="G3647" s="3" t="s">
        <v>1096</v>
      </c>
      <c r="H3647" s="2" t="s">
        <v>36</v>
      </c>
      <c r="I3647" s="2" t="s">
        <v>8676</v>
      </c>
      <c r="J3647" s="3" t="str">
        <f>HYPERLINK("https://www.boe.es/gazeta/dias/1818/02/28/pdfs/GMD-1818-26.pdf#page=6","Abrir facsímil")</f>
        <v>Abrir facsímil</v>
      </c>
      <c r="K3647" s="3" t="s">
        <v>38</v>
      </c>
    </row>
    <row r="3648" spans="1:11" ht="42" customHeight="1">
      <c r="A3648" s="2" t="s">
        <v>8674</v>
      </c>
      <c r="B3648" s="2" t="s">
        <v>8675</v>
      </c>
      <c r="C3648" s="2" t="s">
        <v>26</v>
      </c>
      <c r="D3648" s="2" t="s">
        <v>27</v>
      </c>
      <c r="E3648" s="5">
        <v>-29890</v>
      </c>
      <c r="F3648" s="3" t="s">
        <v>393</v>
      </c>
      <c r="G3648" s="3" t="s">
        <v>106</v>
      </c>
      <c r="H3648" s="2" t="s">
        <v>36</v>
      </c>
      <c r="I3648" s="2" t="s">
        <v>8677</v>
      </c>
      <c r="J3648" s="3" t="str">
        <f>HYPERLINK("https://www.boe.es/gazeta/dias/1818/02/28/pdfs/GMD-1818-26.pdf#page=5","Abrir facsímil")</f>
        <v>Abrir facsímil</v>
      </c>
      <c r="K3648" s="3" t="s">
        <v>38</v>
      </c>
    </row>
    <row r="3649" spans="1:11" ht="42" customHeight="1">
      <c r="A3649" s="2" t="s">
        <v>8674</v>
      </c>
      <c r="B3649" s="2" t="s">
        <v>8675</v>
      </c>
      <c r="C3649" s="2" t="s">
        <v>26</v>
      </c>
      <c r="D3649" s="2" t="s">
        <v>27</v>
      </c>
      <c r="E3649" s="5">
        <v>-29855</v>
      </c>
      <c r="F3649" s="3" t="s">
        <v>676</v>
      </c>
      <c r="G3649" s="3" t="s">
        <v>106</v>
      </c>
      <c r="H3649" s="2" t="s">
        <v>36</v>
      </c>
      <c r="I3649" s="2" t="s">
        <v>8678</v>
      </c>
      <c r="J3649" s="3" t="str">
        <f>HYPERLINK("https://www.boe.es/gazeta/dias/1818/04/04/pdfs/GMD-1818-41.pdf#page=5","Abrir facsímil")</f>
        <v>Abrir facsímil</v>
      </c>
      <c r="K3649" s="3" t="s">
        <v>38</v>
      </c>
    </row>
    <row r="3650" spans="1:11" ht="42" customHeight="1">
      <c r="A3650" s="2" t="s">
        <v>8679</v>
      </c>
      <c r="B3650" s="2" t="s">
        <v>8680</v>
      </c>
      <c r="C3650" s="2" t="s">
        <v>26</v>
      </c>
      <c r="D3650" s="2" t="s">
        <v>27</v>
      </c>
      <c r="E3650" s="5">
        <v>-29946</v>
      </c>
      <c r="F3650" s="3" t="s">
        <v>724</v>
      </c>
      <c r="G3650" s="3" t="s">
        <v>45</v>
      </c>
      <c r="H3650" s="2" t="s">
        <v>36</v>
      </c>
      <c r="I3650" s="2" t="s">
        <v>8681</v>
      </c>
      <c r="J3650" s="3" t="str">
        <f>HYPERLINK("https://www.boe.es/gazeta/dias/1818/01/03/pdfs/GMD-1818-2.pdf#page=8","Abrir facsímil")</f>
        <v>Abrir facsímil</v>
      </c>
      <c r="K3650" s="3" t="s">
        <v>38</v>
      </c>
    </row>
    <row r="3651" spans="1:11" ht="42" customHeight="1">
      <c r="A3651" s="2" t="s">
        <v>8679</v>
      </c>
      <c r="B3651" s="2" t="s">
        <v>8680</v>
      </c>
      <c r="C3651" s="2" t="s">
        <v>17</v>
      </c>
      <c r="D3651" s="2" t="s">
        <v>18</v>
      </c>
      <c r="E3651" s="5">
        <v>-29624</v>
      </c>
      <c r="F3651" s="3" t="s">
        <v>131</v>
      </c>
      <c r="G3651" s="3" t="s">
        <v>20</v>
      </c>
      <c r="H3651" s="2" t="s">
        <v>36</v>
      </c>
      <c r="I3651" s="2" t="s">
        <v>8682</v>
      </c>
      <c r="J3651" s="3" t="str">
        <f>HYPERLINK("https://www.boe.es/gazeta/dias/1818/11/21/pdfs/GMD-1818-141.pdf#page=7","Abrir facsímil")</f>
        <v>Abrir facsímil</v>
      </c>
      <c r="K3651" s="3" t="s">
        <v>38</v>
      </c>
    </row>
    <row r="3652" spans="1:11" ht="42" customHeight="1">
      <c r="A3652" s="2" t="s">
        <v>8683</v>
      </c>
      <c r="B3652" s="2" t="s">
        <v>8684</v>
      </c>
      <c r="C3652" s="2" t="s">
        <v>26</v>
      </c>
      <c r="D3652" s="2" t="s">
        <v>27</v>
      </c>
      <c r="E3652" s="5">
        <v>-29918</v>
      </c>
      <c r="F3652" s="3" t="s">
        <v>89</v>
      </c>
      <c r="G3652" s="3" t="s">
        <v>1492</v>
      </c>
      <c r="H3652" s="2" t="s">
        <v>36</v>
      </c>
      <c r="I3652" s="2" t="s">
        <v>8685</v>
      </c>
      <c r="J3652" s="3" t="str">
        <f>HYPERLINK("https://www.boe.es/gazeta/dias/1818/01/31/pdfs/GMD-1818-14.pdf#page=6","Abrir facsímil")</f>
        <v>Abrir facsímil</v>
      </c>
      <c r="K3652" s="3" t="s">
        <v>38</v>
      </c>
    </row>
    <row r="3653" spans="1:11" ht="42" customHeight="1">
      <c r="A3653" s="2" t="s">
        <v>8683</v>
      </c>
      <c r="B3653" s="2" t="s">
        <v>8684</v>
      </c>
      <c r="C3653" s="2" t="s">
        <v>57</v>
      </c>
      <c r="D3653" s="2" t="s">
        <v>18</v>
      </c>
      <c r="E3653" s="5">
        <v>-29794</v>
      </c>
      <c r="F3653" s="3" t="s">
        <v>127</v>
      </c>
      <c r="G3653" s="3" t="s">
        <v>106</v>
      </c>
      <c r="H3653" s="2" t="s">
        <v>36</v>
      </c>
      <c r="I3653" s="2" t="s">
        <v>8686</v>
      </c>
      <c r="J3653" s="3" t="str">
        <f>HYPERLINK("https://www.boe.es/gazeta/dias/1818/06/04/pdfs/GMD-1818-67.pdf#page=5","Abrir facsímil")</f>
        <v>Abrir facsímil</v>
      </c>
      <c r="K3653" s="3" t="s">
        <v>38</v>
      </c>
    </row>
    <row r="3654" spans="1:11" ht="42" customHeight="1">
      <c r="A3654" s="2" t="s">
        <v>8683</v>
      </c>
      <c r="B3654" s="2" t="s">
        <v>8684</v>
      </c>
      <c r="C3654" s="2" t="s">
        <v>26</v>
      </c>
      <c r="D3654" s="2" t="s">
        <v>27</v>
      </c>
      <c r="E3654" s="5">
        <v>-29701</v>
      </c>
      <c r="F3654" s="3" t="s">
        <v>596</v>
      </c>
      <c r="G3654" s="3" t="s">
        <v>20</v>
      </c>
      <c r="H3654" s="2" t="s">
        <v>36</v>
      </c>
      <c r="I3654" s="2" t="s">
        <v>8687</v>
      </c>
      <c r="J3654" s="3" t="str">
        <f>HYPERLINK("https://www.boe.es/gazeta/dias/1818/09/05/pdfs/GMD-1818-107.pdf#page=7","Abrir facsímil")</f>
        <v>Abrir facsímil</v>
      </c>
      <c r="K3654" s="3" t="s">
        <v>38</v>
      </c>
    </row>
    <row r="3655" spans="1:11" ht="42" customHeight="1">
      <c r="A3655" s="2" t="s">
        <v>8683</v>
      </c>
      <c r="B3655" s="2" t="s">
        <v>8684</v>
      </c>
      <c r="C3655" s="2" t="s">
        <v>215</v>
      </c>
      <c r="D3655" s="2" t="s">
        <v>18</v>
      </c>
      <c r="E3655" s="5">
        <v>-29619</v>
      </c>
      <c r="F3655" s="3" t="s">
        <v>64</v>
      </c>
      <c r="G3655" s="3" t="s">
        <v>20</v>
      </c>
      <c r="H3655" s="2" t="s">
        <v>36</v>
      </c>
      <c r="I3655" s="2" t="s">
        <v>8688</v>
      </c>
      <c r="J3655" s="3" t="str">
        <f>HYPERLINK("https://www.boe.es/gazeta/dias/1818/11/26/pdfs/GMD-1818-143.pdf#page=7","Abrir facsímil")</f>
        <v>Abrir facsímil</v>
      </c>
      <c r="K3655" s="3" t="s">
        <v>38</v>
      </c>
    </row>
    <row r="3656" spans="1:11" ht="42" customHeight="1">
      <c r="A3656" s="2" t="s">
        <v>8689</v>
      </c>
      <c r="B3656" s="2" t="s">
        <v>8690</v>
      </c>
      <c r="C3656" s="2" t="s">
        <v>26</v>
      </c>
      <c r="D3656" s="2" t="s">
        <v>27</v>
      </c>
      <c r="E3656" s="5">
        <v>-29703</v>
      </c>
      <c r="F3656" s="3" t="s">
        <v>294</v>
      </c>
      <c r="G3656" s="3" t="s">
        <v>295</v>
      </c>
      <c r="H3656" s="2" t="s">
        <v>36</v>
      </c>
      <c r="I3656" s="2" t="s">
        <v>8691</v>
      </c>
      <c r="J3656" s="3" t="str">
        <f>HYPERLINK("https://www.boe.es/gazeta/dias/1818/09/03/pdfs/GMD-1818-106.pdf#page=5","Abrir facsímil")</f>
        <v>Abrir facsímil</v>
      </c>
      <c r="K3656" s="3" t="s">
        <v>38</v>
      </c>
    </row>
    <row r="3657" spans="1:11" ht="42" customHeight="1">
      <c r="A3657" s="2" t="s">
        <v>8692</v>
      </c>
      <c r="B3657" s="2" t="s">
        <v>8693</v>
      </c>
      <c r="C3657" s="2" t="s">
        <v>17</v>
      </c>
      <c r="D3657" s="2" t="s">
        <v>18</v>
      </c>
      <c r="E3657" s="5">
        <v>-29631</v>
      </c>
      <c r="F3657" s="3" t="s">
        <v>743</v>
      </c>
      <c r="G3657" s="3" t="s">
        <v>59</v>
      </c>
      <c r="H3657" s="2" t="s">
        <v>36</v>
      </c>
      <c r="I3657" s="2" t="s">
        <v>8694</v>
      </c>
      <c r="J3657" s="3" t="str">
        <f>HYPERLINK("https://www.boe.es/gazeta/dias/1818/11/14/pdfs/GMD-1818-138.pdf#page=6","Abrir facsímil")</f>
        <v>Abrir facsímil</v>
      </c>
      <c r="K3657" s="3" t="s">
        <v>38</v>
      </c>
    </row>
    <row r="3658" spans="1:11" ht="42" customHeight="1">
      <c r="A3658" s="2" t="s">
        <v>8695</v>
      </c>
      <c r="B3658" s="2" t="s">
        <v>8696</v>
      </c>
      <c r="C3658" s="2" t="s">
        <v>63</v>
      </c>
      <c r="D3658" s="2" t="s">
        <v>18</v>
      </c>
      <c r="E3658" s="5">
        <v>-29729</v>
      </c>
      <c r="F3658" s="3" t="s">
        <v>488</v>
      </c>
      <c r="G3658" s="3" t="s">
        <v>489</v>
      </c>
      <c r="H3658" s="2" t="s">
        <v>36</v>
      </c>
      <c r="I3658" s="2" t="s">
        <v>8697</v>
      </c>
      <c r="J3658" s="3" t="str">
        <f>HYPERLINK("https://www.boe.es/gazeta/dias/1818/08/08/pdfs/GMD-1818-95.pdf#page=8","Abrir facsímil")</f>
        <v>Abrir facsímil</v>
      </c>
      <c r="K3658" s="3" t="s">
        <v>38</v>
      </c>
    </row>
    <row r="3659" spans="1:11" ht="42" customHeight="1">
      <c r="A3659" s="2" t="s">
        <v>8695</v>
      </c>
      <c r="B3659" s="2" t="s">
        <v>8696</v>
      </c>
      <c r="C3659" s="2" t="s">
        <v>26</v>
      </c>
      <c r="D3659" s="2" t="s">
        <v>27</v>
      </c>
      <c r="E3659" s="5">
        <v>-29649</v>
      </c>
      <c r="F3659" s="3" t="s">
        <v>585</v>
      </c>
      <c r="G3659" s="3" t="s">
        <v>106</v>
      </c>
      <c r="H3659" s="2" t="s">
        <v>36</v>
      </c>
      <c r="I3659" s="2" t="s">
        <v>8698</v>
      </c>
      <c r="J3659" s="3" t="str">
        <f>HYPERLINK("https://www.boe.es/gazeta/dias/1818/10/27/pdfs/GMD-1818-130.pdf#page=5","Abrir facsímil")</f>
        <v>Abrir facsímil</v>
      </c>
      <c r="K3659" s="3" t="s">
        <v>38</v>
      </c>
    </row>
    <row r="3660" spans="1:11" ht="42" customHeight="1">
      <c r="A3660" s="2" t="s">
        <v>8699</v>
      </c>
      <c r="B3660" s="2" t="s">
        <v>8700</v>
      </c>
      <c r="C3660" s="2" t="s">
        <v>26</v>
      </c>
      <c r="D3660" s="2" t="s">
        <v>27</v>
      </c>
      <c r="E3660" s="5">
        <v>-29619</v>
      </c>
      <c r="F3660" s="3" t="s">
        <v>64</v>
      </c>
      <c r="G3660" s="3" t="s">
        <v>721</v>
      </c>
      <c r="H3660" s="2" t="s">
        <v>36</v>
      </c>
      <c r="I3660" s="2" t="s">
        <v>8701</v>
      </c>
      <c r="J3660" s="3" t="str">
        <f>HYPERLINK("https://www.boe.es/gazeta/dias/1818/11/26/pdfs/GMD-1818-143.pdf#page=5","Abrir facsímil")</f>
        <v>Abrir facsímil</v>
      </c>
      <c r="K3660" s="3" t="s">
        <v>38</v>
      </c>
    </row>
    <row r="3661" spans="1:11" ht="42" customHeight="1">
      <c r="A3661" s="2" t="s">
        <v>8702</v>
      </c>
      <c r="B3661" s="2" t="s">
        <v>8703</v>
      </c>
      <c r="C3661" s="2" t="s">
        <v>97</v>
      </c>
      <c r="D3661" s="2" t="s">
        <v>18</v>
      </c>
      <c r="E3661" s="5">
        <v>-29619</v>
      </c>
      <c r="F3661" s="3" t="s">
        <v>64</v>
      </c>
      <c r="G3661" s="3" t="s">
        <v>20</v>
      </c>
      <c r="H3661" s="2" t="s">
        <v>36</v>
      </c>
      <c r="I3661" s="2" t="s">
        <v>8704</v>
      </c>
      <c r="J3661" s="3" t="str">
        <f>HYPERLINK("https://www.boe.es/gazeta/dias/1818/11/26/pdfs/GMD-1818-143.pdf#page=7","Abrir facsímil")</f>
        <v>Abrir facsímil</v>
      </c>
      <c r="K3661" s="3" t="s">
        <v>38</v>
      </c>
    </row>
    <row r="3662" spans="1:11" ht="42" customHeight="1">
      <c r="A3662" s="2" t="s">
        <v>8705</v>
      </c>
      <c r="B3662" s="2" t="s">
        <v>8706</v>
      </c>
      <c r="C3662" s="2" t="s">
        <v>33</v>
      </c>
      <c r="D3662" s="2" t="s">
        <v>18</v>
      </c>
      <c r="E3662" s="5">
        <v>-29932</v>
      </c>
      <c r="F3662" s="3" t="s">
        <v>34</v>
      </c>
      <c r="G3662" s="3" t="s">
        <v>35</v>
      </c>
      <c r="H3662" s="2" t="s">
        <v>36</v>
      </c>
      <c r="I3662" s="2" t="s">
        <v>8707</v>
      </c>
      <c r="J3662" s="3" t="str">
        <f>HYPERLINK("https://www.boe.es/gazeta/dias/1818/01/17/pdfs/GMD-1818-8.pdf#page=8","Abrir facsímil")</f>
        <v>Abrir facsímil</v>
      </c>
      <c r="K3662" s="3" t="s">
        <v>38</v>
      </c>
    </row>
    <row r="3663" spans="1:11" ht="42" customHeight="1">
      <c r="A3663" s="2" t="s">
        <v>8705</v>
      </c>
      <c r="B3663" s="2" t="s">
        <v>8706</v>
      </c>
      <c r="C3663" s="2" t="s">
        <v>33</v>
      </c>
      <c r="D3663" s="2" t="s">
        <v>18</v>
      </c>
      <c r="E3663" s="5">
        <v>-29892</v>
      </c>
      <c r="F3663" s="3" t="s">
        <v>39</v>
      </c>
      <c r="G3663" s="3" t="s">
        <v>40</v>
      </c>
      <c r="H3663" s="2" t="s">
        <v>36</v>
      </c>
      <c r="I3663" s="2" t="s">
        <v>8708</v>
      </c>
      <c r="J3663" s="3" t="str">
        <f>HYPERLINK("https://www.boe.es/gazeta/dias/1818/02/26/pdfs/GMD-1818-25.pdf#page=8","Abrir facsímil")</f>
        <v>Abrir facsímil</v>
      </c>
      <c r="K3663" s="3" t="s">
        <v>38</v>
      </c>
    </row>
    <row r="3664" spans="1:11" ht="42" customHeight="1">
      <c r="A3664" s="2" t="s">
        <v>8709</v>
      </c>
      <c r="B3664" s="2" t="s">
        <v>8710</v>
      </c>
      <c r="C3664" s="2" t="s">
        <v>57</v>
      </c>
      <c r="D3664" s="2" t="s">
        <v>18</v>
      </c>
      <c r="E3664" s="5">
        <v>-29864</v>
      </c>
      <c r="F3664" s="3" t="s">
        <v>196</v>
      </c>
      <c r="G3664" s="3" t="s">
        <v>59</v>
      </c>
      <c r="H3664" s="2" t="s">
        <v>36</v>
      </c>
      <c r="I3664" s="2" t="s">
        <v>8711</v>
      </c>
      <c r="J3664" s="3" t="str">
        <f>HYPERLINK("https://www.boe.es/gazeta/dias/1818/03/26/pdfs/GMD-1818-37.pdf#page=6","Abrir facsímil")</f>
        <v>Abrir facsímil</v>
      </c>
      <c r="K3664" s="3" t="s">
        <v>38</v>
      </c>
    </row>
    <row r="3665" spans="1:11" ht="42" customHeight="1">
      <c r="A3665" s="2" t="s">
        <v>8712</v>
      </c>
      <c r="B3665" s="2" t="s">
        <v>8712</v>
      </c>
      <c r="C3665" s="2" t="s">
        <v>26</v>
      </c>
      <c r="D3665" s="2" t="s">
        <v>27</v>
      </c>
      <c r="E3665" s="5">
        <v>-29925</v>
      </c>
      <c r="F3665" s="3" t="s">
        <v>447</v>
      </c>
      <c r="G3665" s="3" t="s">
        <v>120</v>
      </c>
      <c r="H3665" s="2" t="s">
        <v>36</v>
      </c>
      <c r="I3665" s="2" t="s">
        <v>8713</v>
      </c>
      <c r="J3665" s="3" t="str">
        <f>HYPERLINK("https://www.boe.es/gazeta/dias/1818/01/24/pdfs/GMD-1818-11.pdf#page=2","Abrir facsímil")</f>
        <v>Abrir facsímil</v>
      </c>
      <c r="K3665" s="3" t="s">
        <v>38</v>
      </c>
    </row>
    <row r="3666" spans="1:11" ht="42" customHeight="1">
      <c r="A3666" s="2" t="s">
        <v>8714</v>
      </c>
      <c r="B3666" s="2" t="s">
        <v>8715</v>
      </c>
      <c r="C3666" s="2" t="s">
        <v>26</v>
      </c>
      <c r="D3666" s="2" t="s">
        <v>27</v>
      </c>
      <c r="E3666" s="5">
        <v>-29883</v>
      </c>
      <c r="F3666" s="3" t="s">
        <v>823</v>
      </c>
      <c r="G3666" s="3" t="s">
        <v>20</v>
      </c>
      <c r="H3666" s="2" t="s">
        <v>36</v>
      </c>
      <c r="I3666" s="2" t="s">
        <v>8716</v>
      </c>
      <c r="J3666" s="3" t="str">
        <f>HYPERLINK("https://www.boe.es/gazeta/dias/1818/03/07/pdfs/GMD-1818-29.pdf#page=7","Abrir facsímil")</f>
        <v>Abrir facsímil</v>
      </c>
      <c r="K3666" s="3" t="s">
        <v>38</v>
      </c>
    </row>
    <row r="3667" spans="1:11" ht="42" customHeight="1">
      <c r="A3667" s="2" t="s">
        <v>8717</v>
      </c>
      <c r="B3667" s="2" t="s">
        <v>8717</v>
      </c>
      <c r="C3667" s="2" t="s">
        <v>17</v>
      </c>
      <c r="D3667" s="2" t="s">
        <v>18</v>
      </c>
      <c r="E3667" s="5">
        <v>-29694</v>
      </c>
      <c r="F3667" s="3" t="s">
        <v>528</v>
      </c>
      <c r="G3667" s="3" t="s">
        <v>59</v>
      </c>
      <c r="H3667" s="2" t="s">
        <v>36</v>
      </c>
      <c r="I3667" s="2" t="s">
        <v>8718</v>
      </c>
      <c r="J3667" s="3" t="str">
        <f>HYPERLINK("https://www.boe.es/gazeta/dias/1818/09/12/pdfs/GMD-1818-110.pdf#page=6","Abrir facsímil")</f>
        <v>Abrir facsímil</v>
      </c>
      <c r="K3667" s="3" t="s">
        <v>38</v>
      </c>
    </row>
    <row r="3668" spans="1:11" ht="42" customHeight="1">
      <c r="A3668" s="2" t="s">
        <v>8719</v>
      </c>
      <c r="B3668" s="2" t="s">
        <v>8720</v>
      </c>
      <c r="C3668" s="2" t="s">
        <v>26</v>
      </c>
      <c r="D3668" s="2" t="s">
        <v>27</v>
      </c>
      <c r="E3668" s="5">
        <v>-29661</v>
      </c>
      <c r="F3668" s="3" t="s">
        <v>348</v>
      </c>
      <c r="G3668" s="3" t="s">
        <v>85</v>
      </c>
      <c r="H3668" s="2" t="s">
        <v>36</v>
      </c>
      <c r="I3668" s="2" t="s">
        <v>8721</v>
      </c>
      <c r="J3668" s="3" t="str">
        <f>HYPERLINK("https://www.boe.es/gazeta/dias/1818/10/15/pdfs/GMD-1818-124.pdf#page=3","Abrir facsímil")</f>
        <v>Abrir facsímil</v>
      </c>
      <c r="K3668" s="3" t="s">
        <v>38</v>
      </c>
    </row>
    <row r="3669" spans="1:11" ht="42" customHeight="1">
      <c r="A3669" s="2" t="s">
        <v>8722</v>
      </c>
      <c r="B3669" s="2" t="s">
        <v>8723</v>
      </c>
      <c r="C3669" s="2" t="s">
        <v>26</v>
      </c>
      <c r="D3669" s="2" t="s">
        <v>27</v>
      </c>
      <c r="E3669" s="5">
        <v>-29694</v>
      </c>
      <c r="F3669" s="3" t="s">
        <v>528</v>
      </c>
      <c r="G3669" s="3" t="s">
        <v>59</v>
      </c>
      <c r="H3669" s="2" t="s">
        <v>36</v>
      </c>
      <c r="I3669" s="2" t="s">
        <v>8724</v>
      </c>
      <c r="J3669" s="3" t="str">
        <f>HYPERLINK("https://www.boe.es/gazeta/dias/1818/09/12/pdfs/GMD-1818-110.pdf#page=6","Abrir facsímil")</f>
        <v>Abrir facsímil</v>
      </c>
      <c r="K3669" s="3" t="s">
        <v>38</v>
      </c>
    </row>
    <row r="3670" spans="1:11" ht="42" customHeight="1">
      <c r="A3670" s="2" t="s">
        <v>8725</v>
      </c>
      <c r="B3670" s="2" t="s">
        <v>8726</v>
      </c>
      <c r="C3670" s="2" t="s">
        <v>26</v>
      </c>
      <c r="D3670" s="2" t="s">
        <v>27</v>
      </c>
      <c r="E3670" s="5">
        <v>-29724</v>
      </c>
      <c r="F3670" s="3" t="s">
        <v>370</v>
      </c>
      <c r="G3670" s="3" t="s">
        <v>106</v>
      </c>
      <c r="H3670" s="2" t="s">
        <v>36</v>
      </c>
      <c r="I3670" s="2" t="s">
        <v>8727</v>
      </c>
      <c r="J3670" s="3" t="str">
        <f>HYPERLINK("https://www.boe.es/gazeta/dias/1818/08/13/pdfs/GMD-1818-97.pdf#page=5","Abrir facsímil")</f>
        <v>Abrir facsímil</v>
      </c>
      <c r="K3670" s="3" t="s">
        <v>38</v>
      </c>
    </row>
    <row r="3671" spans="1:11" ht="42" customHeight="1">
      <c r="A3671" s="2" t="s">
        <v>8725</v>
      </c>
      <c r="B3671" s="2" t="s">
        <v>8726</v>
      </c>
      <c r="C3671" s="2" t="s">
        <v>17</v>
      </c>
      <c r="D3671" s="2" t="s">
        <v>18</v>
      </c>
      <c r="E3671" s="5">
        <v>-29694</v>
      </c>
      <c r="F3671" s="3" t="s">
        <v>528</v>
      </c>
      <c r="G3671" s="3" t="s">
        <v>59</v>
      </c>
      <c r="H3671" s="2" t="s">
        <v>36</v>
      </c>
      <c r="I3671" s="2" t="s">
        <v>8728</v>
      </c>
      <c r="J3671" s="3" t="str">
        <f>HYPERLINK("https://www.boe.es/gazeta/dias/1818/09/12/pdfs/GMD-1818-110.pdf#page=6","Abrir facsímil")</f>
        <v>Abrir facsímil</v>
      </c>
      <c r="K3671" s="3" t="s">
        <v>38</v>
      </c>
    </row>
    <row r="3672" spans="1:11" ht="42" customHeight="1">
      <c r="A3672" s="2" t="s">
        <v>8729</v>
      </c>
      <c r="B3672" s="2" t="s">
        <v>8730</v>
      </c>
      <c r="C3672" s="2" t="s">
        <v>17</v>
      </c>
      <c r="D3672" s="2" t="s">
        <v>18</v>
      </c>
      <c r="E3672" s="5">
        <v>-29750</v>
      </c>
      <c r="F3672" s="3" t="s">
        <v>384</v>
      </c>
      <c r="G3672" s="3" t="s">
        <v>59</v>
      </c>
      <c r="H3672" s="2" t="s">
        <v>36</v>
      </c>
      <c r="I3672" s="2" t="s">
        <v>8731</v>
      </c>
      <c r="J3672" s="3" t="str">
        <f>HYPERLINK("https://www.boe.es/gazeta/dias/1818/07/18/pdfs/GMD-1818-86.pdf#page=6","Abrir facsímil")</f>
        <v>Abrir facsímil</v>
      </c>
      <c r="K3672" s="3" t="s">
        <v>38</v>
      </c>
    </row>
    <row r="3673" spans="1:11" ht="42" customHeight="1">
      <c r="A3673" s="2" t="s">
        <v>8732</v>
      </c>
      <c r="B3673" s="2" t="s">
        <v>8733</v>
      </c>
      <c r="C3673" s="2" t="s">
        <v>57</v>
      </c>
      <c r="D3673" s="2" t="s">
        <v>18</v>
      </c>
      <c r="E3673" s="5">
        <v>-29824</v>
      </c>
      <c r="F3673" s="3" t="s">
        <v>101</v>
      </c>
      <c r="G3673" s="3" t="s">
        <v>45</v>
      </c>
      <c r="H3673" s="2" t="s">
        <v>36</v>
      </c>
      <c r="I3673" s="2" t="s">
        <v>8734</v>
      </c>
      <c r="J3673" s="3" t="str">
        <f>HYPERLINK("https://www.boe.es/gazeta/dias/1818/05/05/pdfs/GMD-1818-54.pdf#page=8","Abrir facsímil")</f>
        <v>Abrir facsímil</v>
      </c>
      <c r="K3673" s="3" t="s">
        <v>38</v>
      </c>
    </row>
    <row r="3674" spans="1:11" ht="42" customHeight="1">
      <c r="A3674" s="2" t="s">
        <v>8735</v>
      </c>
      <c r="B3674" s="2" t="s">
        <v>8736</v>
      </c>
      <c r="C3674" s="2" t="s">
        <v>17</v>
      </c>
      <c r="D3674" s="2" t="s">
        <v>18</v>
      </c>
      <c r="E3674" s="5">
        <v>-29589</v>
      </c>
      <c r="F3674" s="3" t="s">
        <v>210</v>
      </c>
      <c r="G3674" s="3" t="s">
        <v>106</v>
      </c>
      <c r="H3674" s="2" t="s">
        <v>36</v>
      </c>
      <c r="I3674" s="2" t="s">
        <v>8737</v>
      </c>
      <c r="J3674" s="3" t="str">
        <f>HYPERLINK("https://www.boe.es/gazeta/dias/1818/12/26/pdfs/GMD-1818-156.pdf#page=5","Abrir facsímil")</f>
        <v>Abrir facsímil</v>
      </c>
      <c r="K3674" s="3" t="s">
        <v>38</v>
      </c>
    </row>
    <row r="3675" spans="1:11" ht="42" customHeight="1">
      <c r="A3675" s="2" t="s">
        <v>8735</v>
      </c>
      <c r="B3675" s="2" t="s">
        <v>8736</v>
      </c>
      <c r="C3675" s="2" t="s">
        <v>17</v>
      </c>
      <c r="D3675" s="2" t="s">
        <v>18</v>
      </c>
      <c r="E3675" s="5">
        <v>-29589</v>
      </c>
      <c r="F3675" s="3" t="s">
        <v>210</v>
      </c>
      <c r="G3675" s="3" t="s">
        <v>59</v>
      </c>
      <c r="H3675" s="2" t="s">
        <v>36</v>
      </c>
      <c r="I3675" s="2" t="s">
        <v>8738</v>
      </c>
      <c r="J3675" s="3" t="str">
        <f>HYPERLINK("https://www.boe.es/gazeta/dias/1818/12/26/pdfs/GMD-1818-156.pdf#page=6","Abrir facsímil")</f>
        <v>Abrir facsímil</v>
      </c>
      <c r="K3675" s="3" t="s">
        <v>38</v>
      </c>
    </row>
    <row r="3676" spans="1:11" ht="42" customHeight="1">
      <c r="A3676" s="2" t="s">
        <v>8739</v>
      </c>
      <c r="B3676" s="2" t="s">
        <v>8740</v>
      </c>
      <c r="C3676" s="2" t="s">
        <v>17</v>
      </c>
      <c r="D3676" s="2" t="s">
        <v>18</v>
      </c>
      <c r="E3676" s="5">
        <v>-29673</v>
      </c>
      <c r="F3676" s="3" t="s">
        <v>1099</v>
      </c>
      <c r="G3676" s="3" t="s">
        <v>59</v>
      </c>
      <c r="H3676" s="2" t="s">
        <v>36</v>
      </c>
      <c r="I3676" s="2" t="s">
        <v>8741</v>
      </c>
      <c r="J3676" s="3" t="str">
        <f>HYPERLINK("https://www.boe.es/gazeta/dias/1818/10/03/pdfs/GMD-1818-119.pdf#page=6","Abrir facsímil")</f>
        <v>Abrir facsímil</v>
      </c>
      <c r="K3676" s="3" t="s">
        <v>38</v>
      </c>
    </row>
    <row r="3677" spans="1:11" ht="42" customHeight="1">
      <c r="A3677" s="2" t="s">
        <v>8742</v>
      </c>
      <c r="B3677" s="2" t="s">
        <v>8743</v>
      </c>
      <c r="C3677" s="2" t="s">
        <v>97</v>
      </c>
      <c r="D3677" s="2" t="s">
        <v>18</v>
      </c>
      <c r="E3677" s="5">
        <v>-29757</v>
      </c>
      <c r="F3677" s="3" t="s">
        <v>115</v>
      </c>
      <c r="G3677" s="3" t="s">
        <v>29</v>
      </c>
      <c r="H3677" s="2" t="s">
        <v>36</v>
      </c>
      <c r="I3677" s="2" t="s">
        <v>8744</v>
      </c>
      <c r="J3677" s="3" t="str">
        <f>HYPERLINK("https://www.boe.es/gazeta/dias/1818/07/11/pdfs/GMD-1818-83.pdf#page=4","Abrir facsímil")</f>
        <v>Abrir facsímil</v>
      </c>
      <c r="K3677" s="3" t="s">
        <v>38</v>
      </c>
    </row>
    <row r="3678" spans="1:11" ht="42" customHeight="1">
      <c r="A3678" s="2" t="s">
        <v>8745</v>
      </c>
      <c r="B3678" s="2" t="s">
        <v>8746</v>
      </c>
      <c r="C3678" s="2" t="s">
        <v>26</v>
      </c>
      <c r="D3678" s="2" t="s">
        <v>27</v>
      </c>
      <c r="E3678" s="5">
        <v>-29904</v>
      </c>
      <c r="F3678" s="3" t="s">
        <v>451</v>
      </c>
      <c r="G3678" s="3" t="s">
        <v>59</v>
      </c>
      <c r="H3678" s="2" t="s">
        <v>36</v>
      </c>
      <c r="I3678" s="2" t="s">
        <v>8747</v>
      </c>
      <c r="J3678" s="3" t="str">
        <f>HYPERLINK("https://www.boe.es/gazeta/dias/1818/02/14/pdfs/GMD-1818-20.pdf#page=6","Abrir facsímil")</f>
        <v>Abrir facsímil</v>
      </c>
      <c r="K3678" s="3" t="s">
        <v>38</v>
      </c>
    </row>
    <row r="3679" spans="1:11" ht="42" customHeight="1">
      <c r="A3679" s="2" t="s">
        <v>8745</v>
      </c>
      <c r="B3679" s="2" t="s">
        <v>8746</v>
      </c>
      <c r="C3679" s="2" t="s">
        <v>26</v>
      </c>
      <c r="D3679" s="2" t="s">
        <v>27</v>
      </c>
      <c r="E3679" s="5">
        <v>-29904</v>
      </c>
      <c r="F3679" s="3" t="s">
        <v>451</v>
      </c>
      <c r="G3679" s="3" t="s">
        <v>20</v>
      </c>
      <c r="H3679" s="2" t="s">
        <v>36</v>
      </c>
      <c r="I3679" s="2" t="s">
        <v>8748</v>
      </c>
      <c r="J3679" s="3" t="str">
        <f>HYPERLINK("https://www.boe.es/gazeta/dias/1818/02/14/pdfs/GMD-1818-20.pdf#page=7","Abrir facsímil")</f>
        <v>Abrir facsímil</v>
      </c>
      <c r="K3679" s="3" t="s">
        <v>38</v>
      </c>
    </row>
    <row r="3680" spans="1:11" ht="42" customHeight="1">
      <c r="A3680" s="2" t="s">
        <v>8749</v>
      </c>
      <c r="B3680" s="2" t="s">
        <v>8750</v>
      </c>
      <c r="C3680" s="2" t="s">
        <v>17</v>
      </c>
      <c r="D3680" s="2" t="s">
        <v>18</v>
      </c>
      <c r="E3680" s="5">
        <v>-29747</v>
      </c>
      <c r="F3680" s="3" t="s">
        <v>536</v>
      </c>
      <c r="G3680" s="3" t="s">
        <v>45</v>
      </c>
      <c r="H3680" s="2" t="s">
        <v>21</v>
      </c>
      <c r="I3680" s="2" t="s">
        <v>8751</v>
      </c>
      <c r="J3680" s="3" t="str">
        <f>HYPERLINK("https://www.boe.es/gazeta/dias/1818/07/21/pdfs/GMD-1818-87.pdf#page=8","Abrir facsímil")</f>
        <v>Abrir facsímil</v>
      </c>
      <c r="K3680" s="3" t="s">
        <v>23</v>
      </c>
    </row>
    <row r="3681" spans="1:11" ht="42" customHeight="1">
      <c r="A3681" s="2" t="s">
        <v>8752</v>
      </c>
      <c r="B3681" s="2" t="s">
        <v>8753</v>
      </c>
      <c r="C3681" s="2" t="s">
        <v>17</v>
      </c>
      <c r="D3681" s="2" t="s">
        <v>18</v>
      </c>
      <c r="E3681" s="5">
        <v>-29757</v>
      </c>
      <c r="F3681" s="3" t="s">
        <v>115</v>
      </c>
      <c r="G3681" s="3" t="s">
        <v>59</v>
      </c>
      <c r="H3681" s="2" t="s">
        <v>21</v>
      </c>
      <c r="I3681" s="2" t="s">
        <v>8754</v>
      </c>
      <c r="J3681" s="3" t="str">
        <f>HYPERLINK("https://www.boe.es/gazeta/dias/1818/07/11/pdfs/GMD-1818-83.pdf#page=6","Abrir facsímil")</f>
        <v>Abrir facsímil</v>
      </c>
      <c r="K3681" s="3" t="s">
        <v>23</v>
      </c>
    </row>
    <row r="3682" spans="1:11" ht="42" customHeight="1">
      <c r="A3682" s="2" t="s">
        <v>8755</v>
      </c>
      <c r="B3682" s="2" t="s">
        <v>8756</v>
      </c>
      <c r="C3682" s="2" t="s">
        <v>26</v>
      </c>
      <c r="D3682" s="2" t="s">
        <v>27</v>
      </c>
      <c r="E3682" s="5">
        <v>-29936</v>
      </c>
      <c r="F3682" s="3" t="s">
        <v>398</v>
      </c>
      <c r="G3682" s="3" t="s">
        <v>59</v>
      </c>
      <c r="H3682" s="2" t="s">
        <v>36</v>
      </c>
      <c r="I3682" s="2" t="s">
        <v>8757</v>
      </c>
      <c r="J3682" s="3" t="str">
        <f>HYPERLINK("https://www.boe.es/gazeta/dias/1818/01/13/pdfs/GMD-1818-6.pdf#page=6","Abrir facsímil")</f>
        <v>Abrir facsímil</v>
      </c>
      <c r="K3682" s="3" t="s">
        <v>38</v>
      </c>
    </row>
    <row r="3683" spans="1:11" ht="42" customHeight="1">
      <c r="A3683" s="2" t="s">
        <v>8758</v>
      </c>
      <c r="B3683" s="2" t="s">
        <v>8758</v>
      </c>
      <c r="C3683" s="2" t="s">
        <v>17</v>
      </c>
      <c r="D3683" s="2" t="s">
        <v>18</v>
      </c>
      <c r="E3683" s="5">
        <v>-29682</v>
      </c>
      <c r="F3683" s="3" t="s">
        <v>170</v>
      </c>
      <c r="G3683" s="3" t="s">
        <v>49</v>
      </c>
      <c r="H3683" s="2" t="s">
        <v>36</v>
      </c>
      <c r="I3683" s="2" t="s">
        <v>8759</v>
      </c>
      <c r="J3683" s="3" t="str">
        <f>HYPERLINK("https://www.boe.es/gazeta/dias/1818/09/24/pdfs/GMD-1818-115.pdf#page=1","Abrir facsímil")</f>
        <v>Abrir facsímil</v>
      </c>
      <c r="K3683" s="3" t="s">
        <v>38</v>
      </c>
    </row>
    <row r="3684" spans="1:11" ht="42" customHeight="1">
      <c r="A3684" s="2" t="s">
        <v>8760</v>
      </c>
      <c r="B3684" s="2" t="s">
        <v>8761</v>
      </c>
      <c r="C3684" s="2" t="s">
        <v>17</v>
      </c>
      <c r="D3684" s="2" t="s">
        <v>18</v>
      </c>
      <c r="E3684" s="5">
        <v>-29824</v>
      </c>
      <c r="F3684" s="3" t="s">
        <v>101</v>
      </c>
      <c r="G3684" s="3" t="s">
        <v>20</v>
      </c>
      <c r="H3684" s="2" t="s">
        <v>36</v>
      </c>
      <c r="I3684" s="2" t="s">
        <v>8762</v>
      </c>
      <c r="J3684" s="3" t="str">
        <f>HYPERLINK("https://www.boe.es/gazeta/dias/1818/05/05/pdfs/GMD-1818-54.pdf#page=7","Abrir facsímil")</f>
        <v>Abrir facsímil</v>
      </c>
      <c r="K3684" s="3" t="s">
        <v>38</v>
      </c>
    </row>
    <row r="3685" spans="1:11" ht="42" customHeight="1">
      <c r="A3685" s="2" t="s">
        <v>8763</v>
      </c>
      <c r="B3685" s="2" t="s">
        <v>8764</v>
      </c>
      <c r="C3685" s="2" t="s">
        <v>26</v>
      </c>
      <c r="D3685" s="2" t="s">
        <v>27</v>
      </c>
      <c r="E3685" s="5">
        <v>-29677</v>
      </c>
      <c r="F3685" s="3" t="s">
        <v>157</v>
      </c>
      <c r="G3685" s="3" t="s">
        <v>20</v>
      </c>
      <c r="H3685" s="2" t="s">
        <v>36</v>
      </c>
      <c r="I3685" s="2" t="s">
        <v>8765</v>
      </c>
      <c r="J3685" s="3" t="str">
        <f>HYPERLINK("https://www.boe.es/gazeta/dias/1818/09/29/pdfs/GMD-1818-117.pdf#page=7","Abrir facsímil")</f>
        <v>Abrir facsímil</v>
      </c>
      <c r="K3685" s="3" t="s">
        <v>38</v>
      </c>
    </row>
    <row r="3686" spans="1:11" ht="42" customHeight="1">
      <c r="A3686" s="2" t="s">
        <v>8766</v>
      </c>
      <c r="B3686" s="2" t="s">
        <v>8767</v>
      </c>
      <c r="C3686" s="2" t="s">
        <v>913</v>
      </c>
      <c r="D3686" s="2" t="s">
        <v>69</v>
      </c>
      <c r="E3686" s="5">
        <v>-29619</v>
      </c>
      <c r="F3686" s="3" t="s">
        <v>64</v>
      </c>
      <c r="G3686" s="3" t="s">
        <v>45</v>
      </c>
      <c r="H3686" s="2" t="s">
        <v>36</v>
      </c>
      <c r="I3686" s="2" t="s">
        <v>8768</v>
      </c>
      <c r="J3686" s="3" t="str">
        <f>HYPERLINK("https://www.boe.es/gazeta/dias/1818/11/26/pdfs/GMD-1818-143.pdf#page=8","Abrir facsímil")</f>
        <v>Abrir facsímil</v>
      </c>
      <c r="K3686" s="3" t="s">
        <v>38</v>
      </c>
    </row>
    <row r="3687" spans="1:11" ht="42" customHeight="1">
      <c r="A3687" s="2" t="s">
        <v>8769</v>
      </c>
      <c r="B3687" s="2" t="s">
        <v>8770</v>
      </c>
      <c r="C3687" s="2" t="s">
        <v>68</v>
      </c>
      <c r="D3687" s="2" t="s">
        <v>69</v>
      </c>
      <c r="E3687" s="5">
        <v>-29936</v>
      </c>
      <c r="F3687" s="3" t="s">
        <v>398</v>
      </c>
      <c r="G3687" s="3" t="s">
        <v>20</v>
      </c>
      <c r="H3687" s="2" t="s">
        <v>21</v>
      </c>
      <c r="I3687" s="2" t="s">
        <v>8771</v>
      </c>
      <c r="J3687" s="3" t="str">
        <f>HYPERLINK("https://www.boe.es/gazeta/dias/1818/01/13/pdfs/GMD-1818-6.pdf#page=7","Abrir facsímil")</f>
        <v>Abrir facsímil</v>
      </c>
      <c r="K3687" s="3" t="s">
        <v>23</v>
      </c>
    </row>
    <row r="3688" spans="1:11" ht="42" customHeight="1">
      <c r="A3688" s="2" t="s">
        <v>8772</v>
      </c>
      <c r="B3688" s="2" t="s">
        <v>8773</v>
      </c>
      <c r="C3688" s="2" t="s">
        <v>17</v>
      </c>
      <c r="D3688" s="2" t="s">
        <v>18</v>
      </c>
      <c r="E3688" s="5">
        <v>-29708</v>
      </c>
      <c r="F3688" s="3" t="s">
        <v>413</v>
      </c>
      <c r="G3688" s="3" t="s">
        <v>106</v>
      </c>
      <c r="H3688" s="2" t="s">
        <v>36</v>
      </c>
      <c r="I3688" s="2" t="s">
        <v>8774</v>
      </c>
      <c r="J3688" s="3" t="str">
        <f>HYPERLINK("https://www.boe.es/gazeta/dias/1818/08/29/pdfs/GMD-1818-104.pdf#page=5","Abrir facsímil")</f>
        <v>Abrir facsímil</v>
      </c>
      <c r="K3688" s="3" t="s">
        <v>38</v>
      </c>
    </row>
    <row r="3689" spans="1:11" ht="42" customHeight="1">
      <c r="A3689" s="2" t="s">
        <v>8775</v>
      </c>
      <c r="B3689" s="2" t="s">
        <v>8775</v>
      </c>
      <c r="C3689" s="2" t="s">
        <v>26</v>
      </c>
      <c r="D3689" s="2" t="s">
        <v>27</v>
      </c>
      <c r="E3689" s="5">
        <v>-29708</v>
      </c>
      <c r="F3689" s="3" t="s">
        <v>413</v>
      </c>
      <c r="G3689" s="3" t="s">
        <v>29</v>
      </c>
      <c r="H3689" s="2" t="s">
        <v>36</v>
      </c>
      <c r="I3689" s="2" t="s">
        <v>8776</v>
      </c>
      <c r="J3689" s="3" t="str">
        <f>HYPERLINK("https://www.boe.es/gazeta/dias/1818/08/29/pdfs/GMD-1818-104.pdf#page=4","Abrir facsímil")</f>
        <v>Abrir facsímil</v>
      </c>
      <c r="K3689" s="3" t="s">
        <v>38</v>
      </c>
    </row>
    <row r="3690" spans="1:11" ht="42" customHeight="1">
      <c r="A3690" s="2" t="s">
        <v>8777</v>
      </c>
      <c r="B3690" s="2" t="s">
        <v>8778</v>
      </c>
      <c r="C3690" s="2" t="s">
        <v>63</v>
      </c>
      <c r="D3690" s="2" t="s">
        <v>18</v>
      </c>
      <c r="E3690" s="5">
        <v>-29617</v>
      </c>
      <c r="F3690" s="3" t="s">
        <v>995</v>
      </c>
      <c r="G3690" s="3" t="s">
        <v>45</v>
      </c>
      <c r="H3690" s="2" t="s">
        <v>21</v>
      </c>
      <c r="I3690" s="2" t="s">
        <v>8779</v>
      </c>
      <c r="J3690" s="3" t="str">
        <f>HYPERLINK("https://www.boe.es/gazeta/dias/1818/11/28/pdfs/GMD-1818-144.pdf#page=8","Abrir facsímil")</f>
        <v>Abrir facsímil</v>
      </c>
      <c r="K3690" s="3" t="s">
        <v>23</v>
      </c>
    </row>
    <row r="3691" spans="1:11" ht="42" customHeight="1">
      <c r="A3691" s="2" t="s">
        <v>8780</v>
      </c>
      <c r="B3691" s="2" t="s">
        <v>8781</v>
      </c>
      <c r="C3691" s="2" t="s">
        <v>68</v>
      </c>
      <c r="D3691" s="2" t="s">
        <v>69</v>
      </c>
      <c r="E3691" s="5">
        <v>-29710</v>
      </c>
      <c r="F3691" s="3" t="s">
        <v>1026</v>
      </c>
      <c r="G3691" s="3" t="s">
        <v>1626</v>
      </c>
      <c r="H3691" s="2" t="s">
        <v>36</v>
      </c>
      <c r="I3691" s="2" t="s">
        <v>8782</v>
      </c>
      <c r="J3691" s="3" t="str">
        <f>HYPERLINK("https://www.boe.es/gazeta/dias/1818/08/27/pdfs/GMD-1818-103.pdf#page=8","Abrir facsímil")</f>
        <v>Abrir facsímil</v>
      </c>
      <c r="K3691" s="3" t="s">
        <v>38</v>
      </c>
    </row>
    <row r="3692" spans="1:11" ht="42" customHeight="1">
      <c r="A3692" s="2" t="s">
        <v>8783</v>
      </c>
      <c r="B3692" s="2" t="s">
        <v>8783</v>
      </c>
      <c r="C3692" s="2" t="s">
        <v>17</v>
      </c>
      <c r="D3692" s="2" t="s">
        <v>18</v>
      </c>
      <c r="E3692" s="5">
        <v>-29829</v>
      </c>
      <c r="F3692" s="3" t="s">
        <v>44</v>
      </c>
      <c r="G3692" s="3" t="s">
        <v>45</v>
      </c>
      <c r="H3692" s="2" t="s">
        <v>36</v>
      </c>
      <c r="I3692" s="2" t="s">
        <v>8784</v>
      </c>
      <c r="J3692" s="3" t="str">
        <f>HYPERLINK("https://www.boe.es/gazeta/dias/1818/04/30/pdfs/GMD-1818-52.pdf#page=8","Abrir facsímil")</f>
        <v>Abrir facsímil</v>
      </c>
      <c r="K3692" s="3" t="s">
        <v>38</v>
      </c>
    </row>
    <row r="3693" spans="1:11" ht="42" customHeight="1">
      <c r="A3693" s="2" t="s">
        <v>8785</v>
      </c>
      <c r="B3693" s="2" t="s">
        <v>8786</v>
      </c>
      <c r="C3693" s="2" t="s">
        <v>97</v>
      </c>
      <c r="D3693" s="2" t="s">
        <v>18</v>
      </c>
      <c r="E3693" s="5">
        <v>-29829</v>
      </c>
      <c r="F3693" s="3" t="s">
        <v>44</v>
      </c>
      <c r="G3693" s="3" t="s">
        <v>45</v>
      </c>
      <c r="H3693" s="2" t="s">
        <v>36</v>
      </c>
      <c r="I3693" s="2" t="s">
        <v>8787</v>
      </c>
      <c r="J3693" s="3" t="str">
        <f>HYPERLINK("https://www.boe.es/gazeta/dias/1818/04/30/pdfs/GMD-1818-52.pdf#page=8","Abrir facsímil")</f>
        <v>Abrir facsímil</v>
      </c>
      <c r="K3693" s="3" t="s">
        <v>38</v>
      </c>
    </row>
    <row r="3694" spans="1:11" ht="42" customHeight="1">
      <c r="A3694" s="2" t="s">
        <v>8788</v>
      </c>
      <c r="B3694" s="2" t="s">
        <v>8789</v>
      </c>
      <c r="C3694" s="2" t="s">
        <v>17</v>
      </c>
      <c r="D3694" s="2" t="s">
        <v>18</v>
      </c>
      <c r="E3694" s="5">
        <v>-29897</v>
      </c>
      <c r="F3694" s="3" t="s">
        <v>318</v>
      </c>
      <c r="G3694" s="3" t="s">
        <v>20</v>
      </c>
      <c r="H3694" s="2" t="s">
        <v>36</v>
      </c>
      <c r="I3694" s="2" t="s">
        <v>8790</v>
      </c>
      <c r="J3694" s="3" t="str">
        <f>HYPERLINK("https://www.boe.es/gazeta/dias/1818/02/21/pdfs/GMD-1818-23.pdf#page=7","Abrir facsímil")</f>
        <v>Abrir facsímil</v>
      </c>
      <c r="K3694" s="3" t="s">
        <v>38</v>
      </c>
    </row>
    <row r="3695" spans="1:11" ht="42" customHeight="1">
      <c r="A3695" s="2" t="s">
        <v>8791</v>
      </c>
      <c r="B3695" s="2" t="s">
        <v>8792</v>
      </c>
      <c r="C3695" s="2" t="s">
        <v>57</v>
      </c>
      <c r="D3695" s="2" t="s">
        <v>18</v>
      </c>
      <c r="E3695" s="5">
        <v>-29852</v>
      </c>
      <c r="F3695" s="3" t="s">
        <v>327</v>
      </c>
      <c r="G3695" s="3" t="s">
        <v>45</v>
      </c>
      <c r="H3695" s="2" t="s">
        <v>21</v>
      </c>
      <c r="I3695" s="2" t="s">
        <v>8793</v>
      </c>
      <c r="J3695" s="3" t="str">
        <f>HYPERLINK("https://www.boe.es/gazeta/dias/1818/04/07/pdfs/GMD-1818-42.pdf#page=8","Abrir facsímil")</f>
        <v>Abrir facsímil</v>
      </c>
      <c r="K3695" s="3" t="s">
        <v>23</v>
      </c>
    </row>
    <row r="3696" spans="1:11" ht="42" customHeight="1">
      <c r="A3696" s="2" t="s">
        <v>8794</v>
      </c>
      <c r="B3696" s="2" t="s">
        <v>8795</v>
      </c>
      <c r="C3696" s="2" t="s">
        <v>26</v>
      </c>
      <c r="D3696" s="2" t="s">
        <v>27</v>
      </c>
      <c r="E3696" s="5">
        <v>-29635</v>
      </c>
      <c r="F3696" s="3" t="s">
        <v>560</v>
      </c>
      <c r="G3696" s="3" t="s">
        <v>20</v>
      </c>
      <c r="H3696" s="2" t="s">
        <v>36</v>
      </c>
      <c r="I3696" s="2" t="s">
        <v>8796</v>
      </c>
      <c r="J3696" s="3" t="str">
        <f>HYPERLINK("https://www.boe.es/gazeta/dias/1818/11/10/pdfs/GMD-1818-136.pdf#page=7","Abrir facsímil")</f>
        <v>Abrir facsímil</v>
      </c>
      <c r="K3696" s="3" t="s">
        <v>38</v>
      </c>
    </row>
    <row r="3697" spans="1:11" ht="42" customHeight="1">
      <c r="A3697" s="2" t="s">
        <v>8797</v>
      </c>
      <c r="B3697" s="2" t="s">
        <v>8798</v>
      </c>
      <c r="C3697" s="2" t="s">
        <v>26</v>
      </c>
      <c r="D3697" s="2" t="s">
        <v>27</v>
      </c>
      <c r="E3697" s="5">
        <v>-29806</v>
      </c>
      <c r="F3697" s="3" t="s">
        <v>84</v>
      </c>
      <c r="G3697" s="3" t="s">
        <v>29</v>
      </c>
      <c r="H3697" s="2" t="s">
        <v>36</v>
      </c>
      <c r="I3697" s="2" t="s">
        <v>8799</v>
      </c>
      <c r="J3697" s="3" t="str">
        <f>HYPERLINK("https://www.boe.es/gazeta/dias/1818/05/23/pdfs/GMD-1818-62.pdf#page=4","Abrir facsímil")</f>
        <v>Abrir facsímil</v>
      </c>
      <c r="K3697" s="3" t="s">
        <v>38</v>
      </c>
    </row>
    <row r="3698" spans="1:11" ht="42" customHeight="1">
      <c r="A3698" s="2" t="s">
        <v>8800</v>
      </c>
      <c r="B3698" s="2" t="s">
        <v>8801</v>
      </c>
      <c r="C3698" s="2" t="s">
        <v>17</v>
      </c>
      <c r="D3698" s="2" t="s">
        <v>18</v>
      </c>
      <c r="E3698" s="5">
        <v>-29946</v>
      </c>
      <c r="F3698" s="3" t="s">
        <v>724</v>
      </c>
      <c r="G3698" s="3" t="s">
        <v>20</v>
      </c>
      <c r="H3698" s="2" t="s">
        <v>36</v>
      </c>
      <c r="I3698" s="2" t="s">
        <v>8802</v>
      </c>
      <c r="J3698" s="3" t="str">
        <f>HYPERLINK("https://www.boe.es/gazeta/dias/1818/01/03/pdfs/GMD-1818-2.pdf#page=7","Abrir facsímil")</f>
        <v>Abrir facsímil</v>
      </c>
      <c r="K3698" s="3" t="s">
        <v>38</v>
      </c>
    </row>
    <row r="3699" spans="1:11" ht="42" customHeight="1">
      <c r="A3699" s="2" t="s">
        <v>8803</v>
      </c>
      <c r="B3699" s="2" t="s">
        <v>8803</v>
      </c>
      <c r="C3699" s="2" t="s">
        <v>68</v>
      </c>
      <c r="D3699" s="2" t="s">
        <v>69</v>
      </c>
      <c r="E3699" s="5">
        <v>-29696</v>
      </c>
      <c r="F3699" s="3" t="s">
        <v>1716</v>
      </c>
      <c r="G3699" s="3" t="s">
        <v>49</v>
      </c>
      <c r="H3699" s="2" t="s">
        <v>36</v>
      </c>
      <c r="I3699" s="2" t="s">
        <v>8804</v>
      </c>
      <c r="J3699" s="3" t="str">
        <f>HYPERLINK("https://www.boe.es/gazeta/dias/1818/09/10/pdfs/GMD-1818-109.pdf#page=1","Abrir facsímil")</f>
        <v>Abrir facsímil</v>
      </c>
      <c r="K3699" s="3" t="s">
        <v>38</v>
      </c>
    </row>
    <row r="3700" spans="1:11" ht="42" customHeight="1">
      <c r="A3700" s="2" t="s">
        <v>8805</v>
      </c>
      <c r="B3700" s="2" t="s">
        <v>8805</v>
      </c>
      <c r="C3700" s="2" t="s">
        <v>26</v>
      </c>
      <c r="D3700" s="2" t="s">
        <v>27</v>
      </c>
      <c r="E3700" s="5">
        <v>-29855</v>
      </c>
      <c r="F3700" s="3" t="s">
        <v>676</v>
      </c>
      <c r="G3700" s="3" t="s">
        <v>3515</v>
      </c>
      <c r="H3700" s="2" t="s">
        <v>36</v>
      </c>
      <c r="I3700" s="2" t="s">
        <v>8806</v>
      </c>
      <c r="J3700" s="3" t="str">
        <f>HYPERLINK("https://www.boe.es/gazeta/dias/1818/04/04/pdfs/GMD-1818-41.pdf#page=3","Abrir facsímil")</f>
        <v>Abrir facsímil</v>
      </c>
      <c r="K3700" s="3" t="s">
        <v>38</v>
      </c>
    </row>
    <row r="3701" spans="1:11" ht="42" customHeight="1">
      <c r="A3701" s="2" t="s">
        <v>8805</v>
      </c>
      <c r="B3701" s="2" t="s">
        <v>8805</v>
      </c>
      <c r="C3701" s="2" t="s">
        <v>26</v>
      </c>
      <c r="D3701" s="2" t="s">
        <v>27</v>
      </c>
      <c r="E3701" s="5">
        <v>-29834</v>
      </c>
      <c r="F3701" s="3" t="s">
        <v>457</v>
      </c>
      <c r="G3701" s="3" t="s">
        <v>120</v>
      </c>
      <c r="H3701" s="2" t="s">
        <v>36</v>
      </c>
      <c r="I3701" s="2" t="s">
        <v>8807</v>
      </c>
      <c r="J3701" s="3" t="str">
        <f>HYPERLINK("https://www.boe.es/gazeta/dias/1818/04/25/pdfs/GMD-1818-50.pdf#page=2","Abrir facsímil")</f>
        <v>Abrir facsímil</v>
      </c>
      <c r="K3701" s="3" t="s">
        <v>38</v>
      </c>
    </row>
    <row r="3702" spans="1:11" ht="42" customHeight="1">
      <c r="A3702" s="2" t="s">
        <v>8805</v>
      </c>
      <c r="B3702" s="2" t="s">
        <v>8805</v>
      </c>
      <c r="C3702" s="2" t="s">
        <v>26</v>
      </c>
      <c r="D3702" s="2" t="s">
        <v>27</v>
      </c>
      <c r="E3702" s="5">
        <v>-29614</v>
      </c>
      <c r="F3702" s="3" t="s">
        <v>620</v>
      </c>
      <c r="G3702" s="3" t="s">
        <v>85</v>
      </c>
      <c r="H3702" s="2" t="s">
        <v>36</v>
      </c>
      <c r="I3702" s="2" t="s">
        <v>8808</v>
      </c>
      <c r="J3702" s="3" t="str">
        <f>HYPERLINK("https://www.boe.es/gazeta/dias/1818/12/01/pdfs/GMD-1818-145.pdf#page=3","Abrir facsímil")</f>
        <v>Abrir facsímil</v>
      </c>
      <c r="K3702" s="3" t="s">
        <v>38</v>
      </c>
    </row>
    <row r="3703" spans="1:11" ht="42" customHeight="1">
      <c r="A3703" s="2" t="s">
        <v>8805</v>
      </c>
      <c r="B3703" s="2" t="s">
        <v>8805</v>
      </c>
      <c r="C3703" s="2" t="s">
        <v>26</v>
      </c>
      <c r="D3703" s="2" t="s">
        <v>27</v>
      </c>
      <c r="E3703" s="5">
        <v>-29586</v>
      </c>
      <c r="F3703" s="3" t="s">
        <v>683</v>
      </c>
      <c r="G3703" s="3" t="s">
        <v>8809</v>
      </c>
      <c r="H3703" s="2" t="s">
        <v>36</v>
      </c>
      <c r="I3703" s="2" t="s">
        <v>8810</v>
      </c>
      <c r="J3703" s="3" t="str">
        <f>HYPERLINK("https://www.boe.es/gazeta/dias/1818/12/29/pdfs/GMD-1818-158.pdf#page=4","Abrir facsímil")</f>
        <v>Abrir facsímil</v>
      </c>
      <c r="K3703" s="3" t="s">
        <v>38</v>
      </c>
    </row>
    <row r="3704" spans="1:11" ht="42" customHeight="1">
      <c r="A3704" s="2" t="s">
        <v>8811</v>
      </c>
      <c r="B3704" s="2" t="s">
        <v>8812</v>
      </c>
      <c r="C3704" s="2" t="s">
        <v>17</v>
      </c>
      <c r="D3704" s="2" t="s">
        <v>18</v>
      </c>
      <c r="E3704" s="5">
        <v>-29694</v>
      </c>
      <c r="F3704" s="3" t="s">
        <v>528</v>
      </c>
      <c r="G3704" s="3" t="s">
        <v>59</v>
      </c>
      <c r="H3704" s="2" t="s">
        <v>36</v>
      </c>
      <c r="I3704" s="2" t="s">
        <v>8813</v>
      </c>
      <c r="J3704" s="3" t="str">
        <f>HYPERLINK("https://www.boe.es/gazeta/dias/1818/09/12/pdfs/GMD-1818-110.pdf#page=6","Abrir facsímil")</f>
        <v>Abrir facsímil</v>
      </c>
      <c r="K3704" s="3" t="s">
        <v>38</v>
      </c>
    </row>
    <row r="3705" spans="1:11" ht="42" customHeight="1">
      <c r="A3705" s="2" t="s">
        <v>8814</v>
      </c>
      <c r="B3705" s="2" t="s">
        <v>8815</v>
      </c>
      <c r="C3705" s="2" t="s">
        <v>57</v>
      </c>
      <c r="D3705" s="2" t="s">
        <v>18</v>
      </c>
      <c r="E3705" s="5">
        <v>-29694</v>
      </c>
      <c r="F3705" s="3" t="s">
        <v>528</v>
      </c>
      <c r="G3705" s="3" t="s">
        <v>59</v>
      </c>
      <c r="H3705" s="2" t="s">
        <v>36</v>
      </c>
      <c r="I3705" s="2" t="s">
        <v>8816</v>
      </c>
      <c r="J3705" s="3" t="str">
        <f>HYPERLINK("https://www.boe.es/gazeta/dias/1818/09/12/pdfs/GMD-1818-110.pdf#page=6","Abrir facsímil")</f>
        <v>Abrir facsímil</v>
      </c>
      <c r="K3705" s="3" t="s">
        <v>38</v>
      </c>
    </row>
    <row r="3706" spans="1:11" ht="42" customHeight="1">
      <c r="A3706" s="2" t="s">
        <v>8817</v>
      </c>
      <c r="B3706" s="2" t="s">
        <v>8818</v>
      </c>
      <c r="C3706" s="2" t="s">
        <v>68</v>
      </c>
      <c r="D3706" s="2" t="s">
        <v>69</v>
      </c>
      <c r="E3706" s="5">
        <v>-29593</v>
      </c>
      <c r="F3706" s="3" t="s">
        <v>185</v>
      </c>
      <c r="G3706" s="3" t="s">
        <v>20</v>
      </c>
      <c r="H3706" s="2" t="s">
        <v>36</v>
      </c>
      <c r="I3706" s="2" t="s">
        <v>8819</v>
      </c>
      <c r="J3706" s="3" t="str">
        <f>HYPERLINK("https://www.boe.es/gazeta/dias/1818/12/22/pdfs/GMD-1818-154.pdf#page=7","Abrir facsímil")</f>
        <v>Abrir facsímil</v>
      </c>
      <c r="K3706" s="3" t="s">
        <v>38</v>
      </c>
    </row>
    <row r="3707" spans="1:11" ht="42" customHeight="1">
      <c r="A3707" s="2" t="s">
        <v>8820</v>
      </c>
      <c r="B3707" s="2" t="s">
        <v>8821</v>
      </c>
      <c r="C3707" s="2" t="s">
        <v>17</v>
      </c>
      <c r="D3707" s="2" t="s">
        <v>18</v>
      </c>
      <c r="E3707" s="5">
        <v>-29631</v>
      </c>
      <c r="F3707" s="3" t="s">
        <v>743</v>
      </c>
      <c r="G3707" s="3" t="s">
        <v>106</v>
      </c>
      <c r="H3707" s="2" t="s">
        <v>36</v>
      </c>
      <c r="I3707" s="2" t="s">
        <v>8822</v>
      </c>
      <c r="J3707" s="3" t="str">
        <f>HYPERLINK("https://www.boe.es/gazeta/dias/1818/11/14/pdfs/GMD-1818-138.pdf#page=5","Abrir facsímil")</f>
        <v>Abrir facsímil</v>
      </c>
      <c r="K3707" s="3" t="s">
        <v>38</v>
      </c>
    </row>
    <row r="3708" spans="1:11" ht="42" customHeight="1">
      <c r="A3708" s="2" t="s">
        <v>8823</v>
      </c>
      <c r="B3708" s="2" t="s">
        <v>8824</v>
      </c>
      <c r="C3708" s="2" t="s">
        <v>68</v>
      </c>
      <c r="D3708" s="2" t="s">
        <v>69</v>
      </c>
      <c r="E3708" s="5">
        <v>-29733</v>
      </c>
      <c r="F3708" s="3" t="s">
        <v>482</v>
      </c>
      <c r="G3708" s="3" t="s">
        <v>116</v>
      </c>
      <c r="H3708" s="2" t="s">
        <v>36</v>
      </c>
      <c r="I3708" s="2" t="s">
        <v>8825</v>
      </c>
      <c r="J3708" s="3" t="str">
        <f>HYPERLINK("https://www.boe.es/gazeta/dias/1818/08/04/pdfs/GMD-1818-93.pdf#page=12","Abrir facsímil")</f>
        <v>Abrir facsímil</v>
      </c>
      <c r="K3708" s="3" t="s">
        <v>38</v>
      </c>
    </row>
    <row r="3709" spans="1:11" ht="42" customHeight="1">
      <c r="A3709" s="2" t="s">
        <v>8826</v>
      </c>
      <c r="B3709" s="2" t="s">
        <v>8827</v>
      </c>
      <c r="C3709" s="2" t="s">
        <v>63</v>
      </c>
      <c r="D3709" s="2" t="s">
        <v>18</v>
      </c>
      <c r="E3709" s="5">
        <v>-29929</v>
      </c>
      <c r="F3709" s="3" t="s">
        <v>204</v>
      </c>
      <c r="G3709" s="3" t="s">
        <v>59</v>
      </c>
      <c r="H3709" s="2" t="s">
        <v>21</v>
      </c>
      <c r="I3709" s="2" t="s">
        <v>8828</v>
      </c>
      <c r="J3709" s="3" t="str">
        <f>HYPERLINK("https://www.boe.es/gazeta/dias/1818/01/20/pdfs/GMD-1818-9.pdf#page=6","Abrir facsímil")</f>
        <v>Abrir facsímil</v>
      </c>
      <c r="K3709" s="3" t="s">
        <v>23</v>
      </c>
    </row>
    <row r="3710" spans="1:11" ht="42" customHeight="1">
      <c r="A3710" s="2" t="s">
        <v>8829</v>
      </c>
      <c r="B3710" s="2" t="s">
        <v>8830</v>
      </c>
      <c r="C3710" s="2" t="s">
        <v>26</v>
      </c>
      <c r="D3710" s="2" t="s">
        <v>27</v>
      </c>
      <c r="E3710" s="5">
        <v>-29878</v>
      </c>
      <c r="F3710" s="3" t="s">
        <v>353</v>
      </c>
      <c r="G3710" s="3" t="s">
        <v>29</v>
      </c>
      <c r="H3710" s="2" t="s">
        <v>36</v>
      </c>
      <c r="I3710" s="2" t="s">
        <v>8831</v>
      </c>
      <c r="J3710" s="3" t="str">
        <f>HYPERLINK("https://www.boe.es/gazeta/dias/1818/03/12/pdfs/GMD-1818-31.pdf#page=4","Abrir facsímil")</f>
        <v>Abrir facsímil</v>
      </c>
      <c r="K3710" s="3" t="s">
        <v>38</v>
      </c>
    </row>
    <row r="3711" spans="1:11" ht="42" customHeight="1">
      <c r="A3711" s="2" t="s">
        <v>8829</v>
      </c>
      <c r="B3711" s="2" t="s">
        <v>8830</v>
      </c>
      <c r="C3711" s="2" t="s">
        <v>26</v>
      </c>
      <c r="D3711" s="2" t="s">
        <v>27</v>
      </c>
      <c r="E3711" s="5">
        <v>-29878</v>
      </c>
      <c r="F3711" s="3" t="s">
        <v>353</v>
      </c>
      <c r="G3711" s="3" t="s">
        <v>106</v>
      </c>
      <c r="H3711" s="2" t="s">
        <v>36</v>
      </c>
      <c r="I3711" s="2" t="s">
        <v>8832</v>
      </c>
      <c r="J3711" s="3" t="str">
        <f>HYPERLINK("https://www.boe.es/gazeta/dias/1818/03/12/pdfs/GMD-1818-31.pdf#page=5","Abrir facsímil")</f>
        <v>Abrir facsímil</v>
      </c>
      <c r="K3711" s="3" t="s">
        <v>38</v>
      </c>
    </row>
    <row r="3712" spans="1:11" ht="42" customHeight="1">
      <c r="A3712" s="2" t="s">
        <v>8833</v>
      </c>
      <c r="B3712" s="2" t="s">
        <v>8834</v>
      </c>
      <c r="C3712" s="2" t="s">
        <v>68</v>
      </c>
      <c r="D3712" s="2" t="s">
        <v>69</v>
      </c>
      <c r="E3712" s="5">
        <v>-29745</v>
      </c>
      <c r="F3712" s="3" t="s">
        <v>409</v>
      </c>
      <c r="G3712" s="3" t="s">
        <v>20</v>
      </c>
      <c r="H3712" s="2" t="s">
        <v>36</v>
      </c>
      <c r="I3712" s="2" t="s">
        <v>8835</v>
      </c>
      <c r="J3712" s="3" t="str">
        <f>HYPERLINK("https://www.boe.es/gazeta/dias/1818/07/23/pdfs/GMD-1818-88.pdf#page=7","Abrir facsímil")</f>
        <v>Abrir facsímil</v>
      </c>
      <c r="K3712" s="3" t="s">
        <v>38</v>
      </c>
    </row>
    <row r="3713" spans="1:11" ht="42" customHeight="1">
      <c r="A3713" s="2" t="s">
        <v>8833</v>
      </c>
      <c r="B3713" s="2" t="s">
        <v>8834</v>
      </c>
      <c r="C3713" s="2" t="s">
        <v>68</v>
      </c>
      <c r="D3713" s="2" t="s">
        <v>69</v>
      </c>
      <c r="E3713" s="5">
        <v>-29736</v>
      </c>
      <c r="F3713" s="3" t="s">
        <v>581</v>
      </c>
      <c r="G3713" s="3" t="s">
        <v>45</v>
      </c>
      <c r="H3713" s="2" t="s">
        <v>36</v>
      </c>
      <c r="I3713" s="2" t="s">
        <v>8836</v>
      </c>
      <c r="J3713" s="3" t="str">
        <f>HYPERLINK("https://www.boe.es/gazeta/dias/1818/08/01/pdfs/GMD-1818-92.pdf#page=8","Abrir facsímil")</f>
        <v>Abrir facsímil</v>
      </c>
      <c r="K3713" s="3" t="s">
        <v>38</v>
      </c>
    </row>
    <row r="3714" spans="1:11" ht="42" customHeight="1">
      <c r="A3714" s="2" t="s">
        <v>8833</v>
      </c>
      <c r="B3714" s="2" t="s">
        <v>8834</v>
      </c>
      <c r="C3714" s="2" t="s">
        <v>68</v>
      </c>
      <c r="D3714" s="2" t="s">
        <v>69</v>
      </c>
      <c r="E3714" s="5">
        <v>-29731</v>
      </c>
      <c r="F3714" s="3" t="s">
        <v>299</v>
      </c>
      <c r="G3714" s="3" t="s">
        <v>45</v>
      </c>
      <c r="H3714" s="2" t="s">
        <v>36</v>
      </c>
      <c r="I3714" s="2" t="s">
        <v>8837</v>
      </c>
      <c r="J3714" s="3" t="str">
        <f>HYPERLINK("https://www.boe.es/gazeta/dias/1818/08/06/pdfs/GMD-1818-94.pdf#page=8","Abrir facsímil")</f>
        <v>Abrir facsímil</v>
      </c>
      <c r="K3714" s="3" t="s">
        <v>38</v>
      </c>
    </row>
    <row r="3715" spans="1:11" ht="42" customHeight="1">
      <c r="A3715" s="2" t="s">
        <v>8833</v>
      </c>
      <c r="B3715" s="2" t="s">
        <v>8834</v>
      </c>
      <c r="C3715" s="2" t="s">
        <v>57</v>
      </c>
      <c r="D3715" s="2" t="s">
        <v>18</v>
      </c>
      <c r="E3715" s="5">
        <v>-29722</v>
      </c>
      <c r="F3715" s="3" t="s">
        <v>1127</v>
      </c>
      <c r="G3715" s="3" t="s">
        <v>45</v>
      </c>
      <c r="H3715" s="2" t="s">
        <v>36</v>
      </c>
      <c r="I3715" s="2" t="s">
        <v>8838</v>
      </c>
      <c r="J3715" s="3" t="str">
        <f>HYPERLINK("https://www.boe.es/gazeta/dias/1818/08/15/pdfs/GMD-1818-98.pdf#page=8","Abrir facsímil")</f>
        <v>Abrir facsímil</v>
      </c>
      <c r="K3715" s="3" t="s">
        <v>38</v>
      </c>
    </row>
    <row r="3716" spans="1:11" ht="42" customHeight="1">
      <c r="A3716" s="2" t="s">
        <v>8833</v>
      </c>
      <c r="B3716" s="2" t="s">
        <v>8834</v>
      </c>
      <c r="C3716" s="2" t="s">
        <v>68</v>
      </c>
      <c r="D3716" s="2" t="s">
        <v>69</v>
      </c>
      <c r="E3716" s="5">
        <v>-29719</v>
      </c>
      <c r="F3716" s="3" t="s">
        <v>243</v>
      </c>
      <c r="G3716" s="3" t="s">
        <v>2921</v>
      </c>
      <c r="H3716" s="2" t="s">
        <v>36</v>
      </c>
      <c r="I3716" s="2" t="s">
        <v>8839</v>
      </c>
      <c r="J3716" s="3" t="str">
        <f>HYPERLINK("https://www.boe.es/gazeta/dias/1818/08/18/pdfs/GMD-1818-99.pdf#page=12","Abrir facsímil")</f>
        <v>Abrir facsímil</v>
      </c>
      <c r="K3716" s="3" t="s">
        <v>38</v>
      </c>
    </row>
    <row r="3717" spans="1:11" ht="42" customHeight="1">
      <c r="A3717" s="2" t="s">
        <v>8833</v>
      </c>
      <c r="B3717" s="2" t="s">
        <v>8834</v>
      </c>
      <c r="C3717" s="2" t="s">
        <v>68</v>
      </c>
      <c r="D3717" s="2" t="s">
        <v>69</v>
      </c>
      <c r="E3717" s="5">
        <v>-29715</v>
      </c>
      <c r="F3717" s="3" t="s">
        <v>208</v>
      </c>
      <c r="G3717" s="3" t="s">
        <v>45</v>
      </c>
      <c r="H3717" s="2" t="s">
        <v>36</v>
      </c>
      <c r="I3717" s="2" t="s">
        <v>8840</v>
      </c>
      <c r="J3717" s="3" t="str">
        <f>HYPERLINK("https://www.boe.es/gazeta/dias/1818/08/22/pdfs/GMD-1818-101.pdf#page=8","Abrir facsímil")</f>
        <v>Abrir facsímil</v>
      </c>
      <c r="K3717" s="3" t="s">
        <v>38</v>
      </c>
    </row>
    <row r="3718" spans="1:11" ht="42" customHeight="1">
      <c r="A3718" s="2" t="s">
        <v>8833</v>
      </c>
      <c r="B3718" s="2" t="s">
        <v>8834</v>
      </c>
      <c r="C3718" s="2" t="s">
        <v>68</v>
      </c>
      <c r="D3718" s="2" t="s">
        <v>69</v>
      </c>
      <c r="E3718" s="5">
        <v>-29696</v>
      </c>
      <c r="F3718" s="3" t="s">
        <v>1716</v>
      </c>
      <c r="G3718" s="3" t="s">
        <v>45</v>
      </c>
      <c r="H3718" s="2" t="s">
        <v>36</v>
      </c>
      <c r="I3718" s="2" t="s">
        <v>8841</v>
      </c>
      <c r="J3718" s="3" t="str">
        <f>HYPERLINK("https://www.boe.es/gazeta/dias/1818/09/10/pdfs/GMD-1818-109.pdf#page=8","Abrir facsímil")</f>
        <v>Abrir facsímil</v>
      </c>
      <c r="K3718" s="3" t="s">
        <v>38</v>
      </c>
    </row>
    <row r="3719" spans="1:11" ht="42" customHeight="1">
      <c r="A3719" s="2" t="s">
        <v>8833</v>
      </c>
      <c r="B3719" s="2" t="s">
        <v>8834</v>
      </c>
      <c r="C3719" s="2" t="s">
        <v>68</v>
      </c>
      <c r="D3719" s="2" t="s">
        <v>69</v>
      </c>
      <c r="E3719" s="5">
        <v>-29694</v>
      </c>
      <c r="F3719" s="3" t="s">
        <v>528</v>
      </c>
      <c r="G3719" s="3" t="s">
        <v>45</v>
      </c>
      <c r="H3719" s="2" t="s">
        <v>36</v>
      </c>
      <c r="I3719" s="2" t="s">
        <v>8842</v>
      </c>
      <c r="J3719" s="3" t="str">
        <f>HYPERLINK("https://www.boe.es/gazeta/dias/1818/09/12/pdfs/GMD-1818-110.pdf#page=8","Abrir facsímil")</f>
        <v>Abrir facsímil</v>
      </c>
      <c r="K3719" s="3" t="s">
        <v>38</v>
      </c>
    </row>
    <row r="3720" spans="1:11" ht="42" customHeight="1">
      <c r="A3720" s="2" t="s">
        <v>8833</v>
      </c>
      <c r="B3720" s="2" t="s">
        <v>8834</v>
      </c>
      <c r="C3720" s="2" t="s">
        <v>68</v>
      </c>
      <c r="D3720" s="2" t="s">
        <v>69</v>
      </c>
      <c r="E3720" s="5">
        <v>-29687</v>
      </c>
      <c r="F3720" s="3" t="s">
        <v>686</v>
      </c>
      <c r="G3720" s="3" t="s">
        <v>45</v>
      </c>
      <c r="H3720" s="2" t="s">
        <v>36</v>
      </c>
      <c r="I3720" s="2" t="s">
        <v>8843</v>
      </c>
      <c r="J3720" s="3" t="str">
        <f>HYPERLINK("https://www.boe.es/gazeta/dias/1818/09/19/pdfs/GMD-1818-113.pdf#page=8","Abrir facsímil")</f>
        <v>Abrir facsímil</v>
      </c>
      <c r="K3720" s="3" t="s">
        <v>38</v>
      </c>
    </row>
    <row r="3721" spans="1:11" ht="42" customHeight="1">
      <c r="A3721" s="2" t="s">
        <v>8833</v>
      </c>
      <c r="B3721" s="2" t="s">
        <v>8834</v>
      </c>
      <c r="C3721" s="2" t="s">
        <v>68</v>
      </c>
      <c r="D3721" s="2" t="s">
        <v>69</v>
      </c>
      <c r="E3721" s="5">
        <v>-29682</v>
      </c>
      <c r="F3721" s="3" t="s">
        <v>170</v>
      </c>
      <c r="G3721" s="3" t="s">
        <v>45</v>
      </c>
      <c r="H3721" s="2" t="s">
        <v>36</v>
      </c>
      <c r="I3721" s="2" t="s">
        <v>8844</v>
      </c>
      <c r="J3721" s="3" t="str">
        <f>HYPERLINK("https://www.boe.es/gazeta/dias/1818/09/24/pdfs/GMD-1818-115.pdf#page=8","Abrir facsímil")</f>
        <v>Abrir facsímil</v>
      </c>
      <c r="K3721" s="3" t="s">
        <v>38</v>
      </c>
    </row>
    <row r="3722" spans="1:11" ht="42" customHeight="1">
      <c r="A3722" s="2" t="s">
        <v>8833</v>
      </c>
      <c r="B3722" s="2" t="s">
        <v>8834</v>
      </c>
      <c r="C3722" s="2" t="s">
        <v>68</v>
      </c>
      <c r="D3722" s="2" t="s">
        <v>69</v>
      </c>
      <c r="E3722" s="5">
        <v>-29666</v>
      </c>
      <c r="F3722" s="3" t="s">
        <v>258</v>
      </c>
      <c r="G3722" s="3" t="s">
        <v>259</v>
      </c>
      <c r="H3722" s="2" t="s">
        <v>36</v>
      </c>
      <c r="I3722" s="2" t="s">
        <v>8845</v>
      </c>
      <c r="J3722" s="3" t="str">
        <f>HYPERLINK("https://www.boe.es/gazeta/dias/1818/10/10/pdfs/GMD-1818-122.pdf#page=8","Abrir facsímil")</f>
        <v>Abrir facsímil</v>
      </c>
      <c r="K3722" s="3" t="s">
        <v>38</v>
      </c>
    </row>
    <row r="3723" spans="1:11" ht="42" customHeight="1">
      <c r="A3723" s="2" t="s">
        <v>8833</v>
      </c>
      <c r="B3723" s="2" t="s">
        <v>8834</v>
      </c>
      <c r="C3723" s="2" t="s">
        <v>68</v>
      </c>
      <c r="D3723" s="2" t="s">
        <v>69</v>
      </c>
      <c r="E3723" s="5">
        <v>-29661</v>
      </c>
      <c r="F3723" s="3" t="s">
        <v>348</v>
      </c>
      <c r="G3723" s="3" t="s">
        <v>349</v>
      </c>
      <c r="H3723" s="2" t="s">
        <v>36</v>
      </c>
      <c r="I3723" s="2" t="s">
        <v>8846</v>
      </c>
      <c r="J3723" s="3" t="str">
        <f>HYPERLINK("https://www.boe.es/gazeta/dias/1818/10/15/pdfs/GMD-1818-124.pdf#page=8","Abrir facsímil")</f>
        <v>Abrir facsímil</v>
      </c>
      <c r="K3723" s="3" t="s">
        <v>38</v>
      </c>
    </row>
    <row r="3724" spans="1:11" ht="42" customHeight="1">
      <c r="A3724" s="2" t="s">
        <v>8833</v>
      </c>
      <c r="B3724" s="2" t="s">
        <v>8834</v>
      </c>
      <c r="C3724" s="2" t="s">
        <v>68</v>
      </c>
      <c r="D3724" s="2" t="s">
        <v>69</v>
      </c>
      <c r="E3724" s="5">
        <v>-29633</v>
      </c>
      <c r="F3724" s="3" t="s">
        <v>2162</v>
      </c>
      <c r="G3724" s="3" t="s">
        <v>20</v>
      </c>
      <c r="H3724" s="2" t="s">
        <v>36</v>
      </c>
      <c r="I3724" s="2" t="s">
        <v>8847</v>
      </c>
      <c r="J3724" s="3" t="str">
        <f>HYPERLINK("https://www.boe.es/gazeta/dias/1818/11/12/pdfs/GMD-1818-137.pdf#page=7","Abrir facsímil")</f>
        <v>Abrir facsímil</v>
      </c>
      <c r="K3724" s="3" t="s">
        <v>38</v>
      </c>
    </row>
    <row r="3725" spans="1:11" ht="42" customHeight="1">
      <c r="A3725" s="2" t="s">
        <v>8833</v>
      </c>
      <c r="B3725" s="2" t="s">
        <v>8834</v>
      </c>
      <c r="C3725" s="2" t="s">
        <v>68</v>
      </c>
      <c r="D3725" s="2" t="s">
        <v>69</v>
      </c>
      <c r="E3725" s="5">
        <v>-29628</v>
      </c>
      <c r="F3725" s="3" t="s">
        <v>58</v>
      </c>
      <c r="G3725" s="3" t="s">
        <v>45</v>
      </c>
      <c r="H3725" s="2" t="s">
        <v>36</v>
      </c>
      <c r="I3725" s="2" t="s">
        <v>8848</v>
      </c>
      <c r="J3725" s="3" t="str">
        <f>HYPERLINK("https://www.boe.es/gazeta/dias/1818/11/17/pdfs/GMD-1818-139.pdf#page=8","Abrir facsímil")</f>
        <v>Abrir facsímil</v>
      </c>
      <c r="K3725" s="3" t="s">
        <v>38</v>
      </c>
    </row>
    <row r="3726" spans="1:11" ht="42" customHeight="1">
      <c r="A3726" s="2" t="s">
        <v>8833</v>
      </c>
      <c r="B3726" s="2" t="s">
        <v>8834</v>
      </c>
      <c r="C3726" s="2" t="s">
        <v>68</v>
      </c>
      <c r="D3726" s="2" t="s">
        <v>69</v>
      </c>
      <c r="E3726" s="5">
        <v>-29617</v>
      </c>
      <c r="F3726" s="3" t="s">
        <v>995</v>
      </c>
      <c r="G3726" s="3" t="s">
        <v>45</v>
      </c>
      <c r="H3726" s="2" t="s">
        <v>36</v>
      </c>
      <c r="I3726" s="2" t="s">
        <v>8849</v>
      </c>
      <c r="J3726" s="3" t="str">
        <f>HYPERLINK("https://www.boe.es/gazeta/dias/1818/11/28/pdfs/GMD-1818-144.pdf#page=8","Abrir facsímil")</f>
        <v>Abrir facsímil</v>
      </c>
      <c r="K3726" s="3" t="s">
        <v>38</v>
      </c>
    </row>
    <row r="3727" spans="1:11" ht="42" customHeight="1">
      <c r="A3727" s="2" t="s">
        <v>8833</v>
      </c>
      <c r="B3727" s="2" t="s">
        <v>8834</v>
      </c>
      <c r="C3727" s="2" t="s">
        <v>33</v>
      </c>
      <c r="D3727" s="2" t="s">
        <v>18</v>
      </c>
      <c r="E3727" s="5">
        <v>-29610</v>
      </c>
      <c r="F3727" s="3" t="s">
        <v>1441</v>
      </c>
      <c r="G3727" s="3" t="s">
        <v>45</v>
      </c>
      <c r="H3727" s="2" t="s">
        <v>36</v>
      </c>
      <c r="I3727" s="2" t="s">
        <v>8850</v>
      </c>
      <c r="J3727" s="3" t="str">
        <f>HYPERLINK("https://www.boe.es/gazeta/dias/1818/12/05/pdfs/GMD-1818-147.pdf#page=8","Abrir facsímil")</f>
        <v>Abrir facsímil</v>
      </c>
      <c r="K3727" s="3" t="s">
        <v>38</v>
      </c>
    </row>
    <row r="3728" spans="1:11" ht="42" customHeight="1">
      <c r="A3728" s="2" t="s">
        <v>8833</v>
      </c>
      <c r="B3728" s="2" t="s">
        <v>8834</v>
      </c>
      <c r="C3728" s="2" t="s">
        <v>68</v>
      </c>
      <c r="D3728" s="2" t="s">
        <v>69</v>
      </c>
      <c r="E3728" s="5">
        <v>-29607</v>
      </c>
      <c r="F3728" s="3" t="s">
        <v>704</v>
      </c>
      <c r="G3728" s="3" t="s">
        <v>20</v>
      </c>
      <c r="H3728" s="2" t="s">
        <v>36</v>
      </c>
      <c r="I3728" s="2" t="s">
        <v>8851</v>
      </c>
      <c r="J3728" s="3" t="str">
        <f>HYPERLINK("https://www.boe.es/gazeta/dias/1818/12/08/pdfs/GMD-1818-148.pdf#page=7","Abrir facsímil")</f>
        <v>Abrir facsímil</v>
      </c>
      <c r="K3728" s="3" t="s">
        <v>38</v>
      </c>
    </row>
    <row r="3729" spans="1:11" ht="42" customHeight="1">
      <c r="A3729" s="2" t="s">
        <v>8833</v>
      </c>
      <c r="B3729" s="2" t="s">
        <v>8834</v>
      </c>
      <c r="C3729" s="2" t="s">
        <v>68</v>
      </c>
      <c r="D3729" s="2" t="s">
        <v>69</v>
      </c>
      <c r="E3729" s="5">
        <v>-29605</v>
      </c>
      <c r="F3729" s="3" t="s">
        <v>888</v>
      </c>
      <c r="G3729" s="3" t="s">
        <v>1327</v>
      </c>
      <c r="H3729" s="2" t="s">
        <v>36</v>
      </c>
      <c r="I3729" s="2" t="s">
        <v>8852</v>
      </c>
      <c r="J3729" s="3" t="str">
        <f>HYPERLINK("https://www.boe.es/gazeta/dias/1818/12/10/pdfs/GMD-1818-149.pdf#page=8","Abrir facsímil")</f>
        <v>Abrir facsímil</v>
      </c>
      <c r="K3729" s="3" t="s">
        <v>38</v>
      </c>
    </row>
    <row r="3730" spans="1:11" ht="42" customHeight="1">
      <c r="A3730" s="2" t="s">
        <v>8833</v>
      </c>
      <c r="B3730" s="2" t="s">
        <v>8834</v>
      </c>
      <c r="C3730" s="2" t="s">
        <v>68</v>
      </c>
      <c r="D3730" s="2" t="s">
        <v>69</v>
      </c>
      <c r="E3730" s="5">
        <v>-29600</v>
      </c>
      <c r="F3730" s="3" t="s">
        <v>697</v>
      </c>
      <c r="G3730" s="3" t="s">
        <v>45</v>
      </c>
      <c r="H3730" s="2" t="s">
        <v>36</v>
      </c>
      <c r="I3730" s="2" t="s">
        <v>8853</v>
      </c>
      <c r="J3730" s="3" t="str">
        <f>HYPERLINK("https://www.boe.es/gazeta/dias/1818/12/15/pdfs/GMD-1818-151.pdf#page=8","Abrir facsímil")</f>
        <v>Abrir facsímil</v>
      </c>
      <c r="K3730" s="3" t="s">
        <v>38</v>
      </c>
    </row>
    <row r="3731" spans="1:11" ht="42" customHeight="1">
      <c r="A3731" s="2" t="s">
        <v>8833</v>
      </c>
      <c r="B3731" s="2" t="s">
        <v>8834</v>
      </c>
      <c r="C3731" s="2" t="s">
        <v>97</v>
      </c>
      <c r="D3731" s="2" t="s">
        <v>18</v>
      </c>
      <c r="E3731" s="5">
        <v>-29593</v>
      </c>
      <c r="F3731" s="3" t="s">
        <v>185</v>
      </c>
      <c r="G3731" s="3" t="s">
        <v>45</v>
      </c>
      <c r="H3731" s="2" t="s">
        <v>36</v>
      </c>
      <c r="I3731" s="2" t="s">
        <v>8854</v>
      </c>
      <c r="J3731" s="3" t="str">
        <f>HYPERLINK("https://www.boe.es/gazeta/dias/1818/12/22/pdfs/GMD-1818-154.pdf#page=8","Abrir facsímil")</f>
        <v>Abrir facsímil</v>
      </c>
      <c r="K3731" s="3" t="s">
        <v>38</v>
      </c>
    </row>
    <row r="3732" spans="1:11" ht="42" customHeight="1">
      <c r="A3732" s="2" t="s">
        <v>8855</v>
      </c>
      <c r="B3732" s="2" t="s">
        <v>8856</v>
      </c>
      <c r="C3732" s="2" t="s">
        <v>26</v>
      </c>
      <c r="D3732" s="2" t="s">
        <v>27</v>
      </c>
      <c r="E3732" s="5">
        <v>-29647</v>
      </c>
      <c r="F3732" s="3" t="s">
        <v>1547</v>
      </c>
      <c r="G3732" s="3" t="s">
        <v>45</v>
      </c>
      <c r="H3732" s="2" t="s">
        <v>36</v>
      </c>
      <c r="I3732" s="2" t="s">
        <v>8857</v>
      </c>
      <c r="J3732" s="3" t="str">
        <f>HYPERLINK("https://www.boe.es/gazeta/dias/1818/10/29/pdfs/GMD-1818-131.pdf#page=8","Abrir facsímil")</f>
        <v>Abrir facsímil</v>
      </c>
      <c r="K3732" s="3" t="s">
        <v>38</v>
      </c>
    </row>
    <row r="3733" spans="1:11" ht="42" customHeight="1">
      <c r="A3733" s="2" t="s">
        <v>8855</v>
      </c>
      <c r="B3733" s="2" t="s">
        <v>8856</v>
      </c>
      <c r="C3733" s="2" t="s">
        <v>68</v>
      </c>
      <c r="D3733" s="2" t="s">
        <v>69</v>
      </c>
      <c r="E3733" s="5">
        <v>-29598</v>
      </c>
      <c r="F3733" s="3" t="s">
        <v>98</v>
      </c>
      <c r="G3733" s="3" t="s">
        <v>20</v>
      </c>
      <c r="H3733" s="2" t="s">
        <v>36</v>
      </c>
      <c r="I3733" s="2" t="s">
        <v>8858</v>
      </c>
      <c r="J3733" s="3" t="str">
        <f>HYPERLINK("https://www.boe.es/gazeta/dias/1818/12/17/pdfs/GMD-1818-152.pdf#page=7","Abrir facsímil")</f>
        <v>Abrir facsímil</v>
      </c>
      <c r="K3733" s="3" t="s">
        <v>38</v>
      </c>
    </row>
    <row r="3734" spans="1:11" ht="42" customHeight="1">
      <c r="A3734" s="2" t="s">
        <v>8859</v>
      </c>
      <c r="B3734" s="2" t="s">
        <v>8860</v>
      </c>
      <c r="C3734" s="2" t="s">
        <v>68</v>
      </c>
      <c r="D3734" s="2" t="s">
        <v>69</v>
      </c>
      <c r="E3734" s="5">
        <v>-29626</v>
      </c>
      <c r="F3734" s="3" t="s">
        <v>496</v>
      </c>
      <c r="G3734" s="3" t="s">
        <v>45</v>
      </c>
      <c r="H3734" s="2" t="s">
        <v>21</v>
      </c>
      <c r="I3734" s="2" t="s">
        <v>8861</v>
      </c>
      <c r="J3734" s="3" t="str">
        <f>HYPERLINK("https://www.boe.es/gazeta/dias/1818/11/19/pdfs/GMD-1818-140.pdf#page=8","Abrir facsímil")</f>
        <v>Abrir facsímil</v>
      </c>
      <c r="K3734" s="3" t="s">
        <v>23</v>
      </c>
    </row>
    <row r="3735" spans="1:11" ht="42" customHeight="1">
      <c r="A3735" s="2" t="s">
        <v>8862</v>
      </c>
      <c r="B3735" s="2" t="s">
        <v>8863</v>
      </c>
      <c r="C3735" s="2" t="s">
        <v>17</v>
      </c>
      <c r="D3735" s="2" t="s">
        <v>18</v>
      </c>
      <c r="E3735" s="5">
        <v>-29600</v>
      </c>
      <c r="F3735" s="3" t="s">
        <v>697</v>
      </c>
      <c r="G3735" s="3" t="s">
        <v>45</v>
      </c>
      <c r="H3735" s="2" t="s">
        <v>21</v>
      </c>
      <c r="I3735" s="2" t="s">
        <v>8864</v>
      </c>
      <c r="J3735" s="3" t="str">
        <f>HYPERLINK("https://www.boe.es/gazeta/dias/1818/12/15/pdfs/GMD-1818-151.pdf#page=8","Abrir facsímil")</f>
        <v>Abrir facsímil</v>
      </c>
      <c r="K3735" s="3" t="s">
        <v>23</v>
      </c>
    </row>
    <row r="3736" spans="1:11" ht="42" customHeight="1">
      <c r="A3736" s="2" t="s">
        <v>8865</v>
      </c>
      <c r="B3736" s="2" t="s">
        <v>8866</v>
      </c>
      <c r="C3736" s="2" t="s">
        <v>68</v>
      </c>
      <c r="D3736" s="2" t="s">
        <v>69</v>
      </c>
      <c r="E3736" s="5">
        <v>-29670</v>
      </c>
      <c r="F3736" s="3" t="s">
        <v>48</v>
      </c>
      <c r="G3736" s="3" t="s">
        <v>45</v>
      </c>
      <c r="H3736" s="2" t="s">
        <v>21</v>
      </c>
      <c r="I3736" s="2" t="s">
        <v>8867</v>
      </c>
      <c r="J3736" s="3" t="str">
        <f>HYPERLINK("https://www.boe.es/gazeta/dias/1818/10/06/pdfs/GMD-1818-120.pdf#page=8","Abrir facsímil")</f>
        <v>Abrir facsímil</v>
      </c>
      <c r="K3736" s="3" t="s">
        <v>23</v>
      </c>
    </row>
    <row r="3737" spans="1:11" ht="42" customHeight="1">
      <c r="A3737" s="2" t="s">
        <v>8868</v>
      </c>
      <c r="B3737" s="2" t="s">
        <v>8869</v>
      </c>
      <c r="C3737" s="2" t="s">
        <v>68</v>
      </c>
      <c r="D3737" s="2" t="s">
        <v>69</v>
      </c>
      <c r="E3737" s="5">
        <v>-29598</v>
      </c>
      <c r="F3737" s="3" t="s">
        <v>98</v>
      </c>
      <c r="G3737" s="3" t="s">
        <v>20</v>
      </c>
      <c r="H3737" s="2" t="s">
        <v>21</v>
      </c>
      <c r="I3737" s="2" t="s">
        <v>8870</v>
      </c>
      <c r="J3737" s="3" t="str">
        <f>HYPERLINK("https://www.boe.es/gazeta/dias/1818/12/17/pdfs/GMD-1818-152.pdf#page=7","Abrir facsímil")</f>
        <v>Abrir facsímil</v>
      </c>
      <c r="K3737" s="3" t="s">
        <v>23</v>
      </c>
    </row>
    <row r="3738" spans="1:11" ht="42" customHeight="1">
      <c r="A3738" s="2" t="s">
        <v>8871</v>
      </c>
      <c r="B3738" s="2" t="s">
        <v>8871</v>
      </c>
      <c r="C3738" s="2" t="s">
        <v>26</v>
      </c>
      <c r="D3738" s="2" t="s">
        <v>27</v>
      </c>
      <c r="E3738" s="5">
        <v>-29708</v>
      </c>
      <c r="F3738" s="3" t="s">
        <v>413</v>
      </c>
      <c r="G3738" s="3" t="s">
        <v>29</v>
      </c>
      <c r="H3738" s="2" t="s">
        <v>36</v>
      </c>
      <c r="I3738" s="2" t="s">
        <v>8872</v>
      </c>
      <c r="J3738" s="3" t="str">
        <f>HYPERLINK("https://www.boe.es/gazeta/dias/1818/08/29/pdfs/GMD-1818-104.pdf#page=4","Abrir facsímil")</f>
        <v>Abrir facsímil</v>
      </c>
      <c r="K3738" s="3" t="s">
        <v>38</v>
      </c>
    </row>
    <row r="3739" spans="1:11" ht="42" customHeight="1">
      <c r="A3739" s="2" t="s">
        <v>8873</v>
      </c>
      <c r="B3739" s="2" t="s">
        <v>8874</v>
      </c>
      <c r="C3739" s="2" t="s">
        <v>26</v>
      </c>
      <c r="D3739" s="2" t="s">
        <v>27</v>
      </c>
      <c r="E3739" s="5">
        <v>-29892</v>
      </c>
      <c r="F3739" s="3" t="s">
        <v>39</v>
      </c>
      <c r="G3739" s="3" t="s">
        <v>3970</v>
      </c>
      <c r="H3739" s="2" t="s">
        <v>36</v>
      </c>
      <c r="I3739" s="2" t="s">
        <v>8875</v>
      </c>
      <c r="J3739" s="3" t="str">
        <f>HYPERLINK("https://www.boe.es/gazeta/dias/1818/02/26/pdfs/GMD-1818-25.pdf#page=4","Abrir facsímil")</f>
        <v>Abrir facsímil</v>
      </c>
      <c r="K3739" s="3" t="s">
        <v>38</v>
      </c>
    </row>
    <row r="3740" spans="1:11" ht="42" customHeight="1">
      <c r="A3740" s="2" t="s">
        <v>8876</v>
      </c>
      <c r="B3740" s="2" t="s">
        <v>8877</v>
      </c>
      <c r="C3740" s="2" t="s">
        <v>68</v>
      </c>
      <c r="D3740" s="2" t="s">
        <v>69</v>
      </c>
      <c r="E3740" s="5">
        <v>-29766</v>
      </c>
      <c r="F3740" s="3" t="s">
        <v>276</v>
      </c>
      <c r="G3740" s="3" t="s">
        <v>8878</v>
      </c>
      <c r="H3740" s="2" t="s">
        <v>36</v>
      </c>
      <c r="I3740" s="2" t="s">
        <v>8879</v>
      </c>
      <c r="J3740" s="3" t="str">
        <f>HYPERLINK("https://www.boe.es/gazeta/dias/1818/07/02/pdfs/GMD-1818-79.pdf#page=4","Abrir facsímil")</f>
        <v>Abrir facsímil</v>
      </c>
      <c r="K3740" s="3" t="s">
        <v>38</v>
      </c>
    </row>
    <row r="3741" spans="1:11" ht="42" customHeight="1">
      <c r="A3741" s="2" t="s">
        <v>8880</v>
      </c>
      <c r="B3741" s="2" t="s">
        <v>8880</v>
      </c>
      <c r="C3741" s="2" t="s">
        <v>68</v>
      </c>
      <c r="D3741" s="2" t="s">
        <v>69</v>
      </c>
      <c r="E3741" s="5">
        <v>-29757</v>
      </c>
      <c r="F3741" s="3" t="s">
        <v>115</v>
      </c>
      <c r="G3741" s="3" t="s">
        <v>29</v>
      </c>
      <c r="H3741" s="2" t="s">
        <v>36</v>
      </c>
      <c r="I3741" s="2" t="s">
        <v>8881</v>
      </c>
      <c r="J3741" s="3" t="str">
        <f>HYPERLINK("https://www.boe.es/gazeta/dias/1818/07/11/pdfs/GMD-1818-83.pdf#page=4","Abrir facsímil")</f>
        <v>Abrir facsímil</v>
      </c>
      <c r="K3741" s="3" t="s">
        <v>38</v>
      </c>
    </row>
    <row r="3742" spans="1:11" ht="42" customHeight="1">
      <c r="A3742" s="2" t="s">
        <v>8882</v>
      </c>
      <c r="B3742" s="2" t="s">
        <v>8883</v>
      </c>
      <c r="C3742" s="2" t="s">
        <v>26</v>
      </c>
      <c r="D3742" s="2" t="s">
        <v>27</v>
      </c>
      <c r="E3742" s="5">
        <v>-29920</v>
      </c>
      <c r="F3742" s="3" t="s">
        <v>201</v>
      </c>
      <c r="G3742" s="3" t="s">
        <v>111</v>
      </c>
      <c r="H3742" s="2" t="s">
        <v>36</v>
      </c>
      <c r="I3742" s="2" t="s">
        <v>8884</v>
      </c>
      <c r="J3742" s="3" t="str">
        <f>HYPERLINK("https://www.boe.es/gazeta/dias/1818/01/29/pdfs/GMD-1818-13.pdf#page=11","Abrir facsímil")</f>
        <v>Abrir facsímil</v>
      </c>
      <c r="K3742" s="3" t="s">
        <v>38</v>
      </c>
    </row>
    <row r="3743" spans="1:11" ht="42" customHeight="1">
      <c r="A3743" s="2" t="s">
        <v>8885</v>
      </c>
      <c r="B3743" s="2" t="s">
        <v>8886</v>
      </c>
      <c r="C3743" s="2" t="s">
        <v>26</v>
      </c>
      <c r="D3743" s="2" t="s">
        <v>27</v>
      </c>
      <c r="E3743" s="5">
        <v>-29684</v>
      </c>
      <c r="F3743" s="3" t="s">
        <v>311</v>
      </c>
      <c r="G3743" s="3" t="s">
        <v>106</v>
      </c>
      <c r="H3743" s="2" t="s">
        <v>36</v>
      </c>
      <c r="I3743" s="2" t="s">
        <v>8887</v>
      </c>
      <c r="J3743" s="3" t="str">
        <f>HYPERLINK("https://www.boe.es/gazeta/dias/1818/09/22/pdfs/GMD-1818-114.pdf#page=5","Abrir facsímil")</f>
        <v>Abrir facsímil</v>
      </c>
      <c r="K3743" s="3" t="s">
        <v>38</v>
      </c>
    </row>
    <row r="3744" spans="1:11" ht="42" customHeight="1">
      <c r="A3744" s="2" t="s">
        <v>8888</v>
      </c>
      <c r="B3744" s="2" t="s">
        <v>8888</v>
      </c>
      <c r="C3744" s="2" t="s">
        <v>26</v>
      </c>
      <c r="D3744" s="2" t="s">
        <v>27</v>
      </c>
      <c r="E3744" s="5">
        <v>-29913</v>
      </c>
      <c r="F3744" s="3" t="s">
        <v>449</v>
      </c>
      <c r="G3744" s="3" t="s">
        <v>106</v>
      </c>
      <c r="H3744" s="2" t="s">
        <v>36</v>
      </c>
      <c r="I3744" s="2" t="s">
        <v>8889</v>
      </c>
      <c r="J3744" s="3" t="str">
        <f>HYPERLINK("https://www.boe.es/gazeta/dias/1818/02/05/pdfs/GMD-1818-16.pdf#page=5","Abrir facsímil")</f>
        <v>Abrir facsímil</v>
      </c>
      <c r="K3744" s="3" t="s">
        <v>38</v>
      </c>
    </row>
    <row r="3745" spans="1:11" ht="42" customHeight="1">
      <c r="A3745" s="2" t="s">
        <v>8890</v>
      </c>
      <c r="B3745" s="2" t="s">
        <v>8890</v>
      </c>
      <c r="C3745" s="2" t="s">
        <v>26</v>
      </c>
      <c r="D3745" s="2" t="s">
        <v>27</v>
      </c>
      <c r="E3745" s="5">
        <v>-29813</v>
      </c>
      <c r="F3745" s="3" t="s">
        <v>839</v>
      </c>
      <c r="G3745" s="3" t="s">
        <v>29</v>
      </c>
      <c r="H3745" s="2" t="s">
        <v>36</v>
      </c>
      <c r="I3745" s="2" t="s">
        <v>8891</v>
      </c>
      <c r="J3745" s="3" t="str">
        <f>HYPERLINK("https://www.boe.es/gazeta/dias/1818/05/16/pdfs/GMD-1818-59.pdf#page=4","Abrir facsímil")</f>
        <v>Abrir facsímil</v>
      </c>
      <c r="K3745" s="3" t="s">
        <v>38</v>
      </c>
    </row>
    <row r="3746" spans="1:11" ht="42" customHeight="1">
      <c r="A3746" s="2" t="s">
        <v>8892</v>
      </c>
      <c r="B3746" s="2" t="s">
        <v>8893</v>
      </c>
      <c r="C3746" s="2" t="s">
        <v>17</v>
      </c>
      <c r="D3746" s="2" t="s">
        <v>18</v>
      </c>
      <c r="E3746" s="5">
        <v>-29848</v>
      </c>
      <c r="F3746" s="3" t="s">
        <v>571</v>
      </c>
      <c r="G3746" s="3" t="s">
        <v>20</v>
      </c>
      <c r="H3746" s="2" t="s">
        <v>36</v>
      </c>
      <c r="I3746" s="2" t="s">
        <v>8894</v>
      </c>
      <c r="J3746" s="3" t="str">
        <f>HYPERLINK("https://www.boe.es/gazeta/dias/1818/04/11/pdfs/GMD-1818-44.pdf#page=7","Abrir facsímil")</f>
        <v>Abrir facsímil</v>
      </c>
      <c r="K3746" s="3" t="s">
        <v>38</v>
      </c>
    </row>
    <row r="3747" spans="1:11" ht="42" customHeight="1">
      <c r="A3747" s="2" t="s">
        <v>8895</v>
      </c>
      <c r="B3747" s="2" t="s">
        <v>8896</v>
      </c>
      <c r="C3747" s="2" t="s">
        <v>26</v>
      </c>
      <c r="D3747" s="2" t="s">
        <v>27</v>
      </c>
      <c r="E3747" s="5">
        <v>-29913</v>
      </c>
      <c r="F3747" s="3" t="s">
        <v>449</v>
      </c>
      <c r="G3747" s="3" t="s">
        <v>5747</v>
      </c>
      <c r="H3747" s="2" t="s">
        <v>36</v>
      </c>
      <c r="I3747" s="2" t="s">
        <v>8897</v>
      </c>
      <c r="J3747" s="3" t="str">
        <f>HYPERLINK("https://www.boe.es/gazeta/dias/1818/02/05/pdfs/GMD-1818-16.pdf#page=4","Abrir facsímil")</f>
        <v>Abrir facsímil</v>
      </c>
      <c r="K3747" s="3" t="s">
        <v>38</v>
      </c>
    </row>
    <row r="3748" spans="1:11" ht="42" customHeight="1">
      <c r="A3748" s="2" t="s">
        <v>8895</v>
      </c>
      <c r="B3748" s="2" t="s">
        <v>8896</v>
      </c>
      <c r="C3748" s="2" t="s">
        <v>26</v>
      </c>
      <c r="D3748" s="2" t="s">
        <v>27</v>
      </c>
      <c r="E3748" s="5">
        <v>-29913</v>
      </c>
      <c r="F3748" s="3" t="s">
        <v>449</v>
      </c>
      <c r="G3748" s="3" t="s">
        <v>106</v>
      </c>
      <c r="H3748" s="2" t="s">
        <v>36</v>
      </c>
      <c r="I3748" s="2" t="s">
        <v>8898</v>
      </c>
      <c r="J3748" s="3" t="str">
        <f>HYPERLINK("https://www.boe.es/gazeta/dias/1818/02/05/pdfs/GMD-1818-16.pdf#page=5","Abrir facsímil")</f>
        <v>Abrir facsímil</v>
      </c>
      <c r="K3748" s="3" t="s">
        <v>38</v>
      </c>
    </row>
    <row r="3749" spans="1:11" ht="42" customHeight="1">
      <c r="A3749" s="2" t="s">
        <v>8895</v>
      </c>
      <c r="B3749" s="2" t="s">
        <v>8896</v>
      </c>
      <c r="C3749" s="2" t="s">
        <v>26</v>
      </c>
      <c r="D3749" s="2" t="s">
        <v>27</v>
      </c>
      <c r="E3749" s="5">
        <v>-29901</v>
      </c>
      <c r="F3749" s="3" t="s">
        <v>417</v>
      </c>
      <c r="G3749" s="3" t="s">
        <v>20</v>
      </c>
      <c r="H3749" s="2" t="s">
        <v>36</v>
      </c>
      <c r="I3749" s="2" t="s">
        <v>8899</v>
      </c>
      <c r="J3749" s="3" t="str">
        <f>HYPERLINK("https://www.boe.es/gazeta/dias/1818/02/17/pdfs/GMD-1818-21.pdf#page=7","Abrir facsímil")</f>
        <v>Abrir facsímil</v>
      </c>
      <c r="K3749" s="3" t="s">
        <v>38</v>
      </c>
    </row>
    <row r="3750" spans="1:11" ht="42" customHeight="1">
      <c r="A3750" s="2" t="s">
        <v>8895</v>
      </c>
      <c r="B3750" s="2" t="s">
        <v>8896</v>
      </c>
      <c r="C3750" s="2" t="s">
        <v>26</v>
      </c>
      <c r="D3750" s="2" t="s">
        <v>27</v>
      </c>
      <c r="E3750" s="5">
        <v>-29803</v>
      </c>
      <c r="F3750" s="3" t="s">
        <v>1393</v>
      </c>
      <c r="G3750" s="3" t="s">
        <v>85</v>
      </c>
      <c r="H3750" s="2" t="s">
        <v>36</v>
      </c>
      <c r="I3750" s="2" t="s">
        <v>8900</v>
      </c>
      <c r="J3750" s="3" t="str">
        <f>HYPERLINK("https://www.boe.es/gazeta/dias/1818/05/26/pdfs/GMD-1818-63.pdf#page=3","Abrir facsímil")</f>
        <v>Abrir facsímil</v>
      </c>
      <c r="K3750" s="3" t="s">
        <v>38</v>
      </c>
    </row>
    <row r="3751" spans="1:11" ht="42" customHeight="1">
      <c r="A3751" s="2" t="s">
        <v>8901</v>
      </c>
      <c r="B3751" s="2" t="s">
        <v>8902</v>
      </c>
      <c r="C3751" s="2" t="s">
        <v>26</v>
      </c>
      <c r="D3751" s="2" t="s">
        <v>27</v>
      </c>
      <c r="E3751" s="5">
        <v>-29890</v>
      </c>
      <c r="F3751" s="3" t="s">
        <v>393</v>
      </c>
      <c r="G3751" s="3" t="s">
        <v>4435</v>
      </c>
      <c r="H3751" s="2" t="s">
        <v>36</v>
      </c>
      <c r="I3751" s="2" t="s">
        <v>8903</v>
      </c>
      <c r="J3751" s="3" t="str">
        <f>HYPERLINK("https://www.boe.es/gazeta/dias/1818/02/28/pdfs/GMD-1818-26.pdf#page=4","Abrir facsímil")</f>
        <v>Abrir facsímil</v>
      </c>
      <c r="K3751" s="3" t="s">
        <v>38</v>
      </c>
    </row>
    <row r="3752" spans="1:11" ht="42" customHeight="1">
      <c r="A3752" s="2" t="s">
        <v>8901</v>
      </c>
      <c r="B3752" s="2" t="s">
        <v>8902</v>
      </c>
      <c r="C3752" s="2" t="s">
        <v>33</v>
      </c>
      <c r="D3752" s="2" t="s">
        <v>18</v>
      </c>
      <c r="E3752" s="5">
        <v>-29862</v>
      </c>
      <c r="F3752" s="3" t="s">
        <v>925</v>
      </c>
      <c r="G3752" s="3" t="s">
        <v>59</v>
      </c>
      <c r="H3752" s="2" t="s">
        <v>36</v>
      </c>
      <c r="I3752" s="2" t="s">
        <v>8904</v>
      </c>
      <c r="J3752" s="3" t="str">
        <f>HYPERLINK("https://www.boe.es/gazeta/dias/1818/03/28/pdfs/GMD-1818-38.pdf#page=6","Abrir facsímil")</f>
        <v>Abrir facsímil</v>
      </c>
      <c r="K3752" s="3" t="s">
        <v>38</v>
      </c>
    </row>
    <row r="3753" spans="1:11" ht="42" customHeight="1">
      <c r="A3753" s="2" t="s">
        <v>8901</v>
      </c>
      <c r="B3753" s="2" t="s">
        <v>8902</v>
      </c>
      <c r="C3753" s="2" t="s">
        <v>17</v>
      </c>
      <c r="D3753" s="2" t="s">
        <v>18</v>
      </c>
      <c r="E3753" s="5">
        <v>-29843</v>
      </c>
      <c r="F3753" s="3" t="s">
        <v>182</v>
      </c>
      <c r="G3753" s="3" t="s">
        <v>59</v>
      </c>
      <c r="H3753" s="2" t="s">
        <v>36</v>
      </c>
      <c r="I3753" s="2" t="s">
        <v>8905</v>
      </c>
      <c r="J3753" s="3" t="str">
        <f>HYPERLINK("https://www.boe.es/gazeta/dias/1818/04/16/pdfs/GMD-1818-46.pdf#page=6","Abrir facsímil")</f>
        <v>Abrir facsímil</v>
      </c>
      <c r="K3753" s="3" t="s">
        <v>38</v>
      </c>
    </row>
    <row r="3754" spans="1:11" ht="42" customHeight="1">
      <c r="A3754" s="2" t="s">
        <v>8901</v>
      </c>
      <c r="B3754" s="2" t="s">
        <v>8902</v>
      </c>
      <c r="C3754" s="2" t="s">
        <v>17</v>
      </c>
      <c r="D3754" s="2" t="s">
        <v>18</v>
      </c>
      <c r="E3754" s="5">
        <v>-29810</v>
      </c>
      <c r="F3754" s="3" t="s">
        <v>222</v>
      </c>
      <c r="G3754" s="3" t="s">
        <v>29</v>
      </c>
      <c r="H3754" s="2" t="s">
        <v>36</v>
      </c>
      <c r="I3754" s="2" t="s">
        <v>8906</v>
      </c>
      <c r="J3754" s="3" t="str">
        <f>HYPERLINK("https://www.boe.es/gazeta/dias/1818/05/19/pdfs/GMD-1818-60.pdf#page=4","Abrir facsímil")</f>
        <v>Abrir facsímil</v>
      </c>
      <c r="K3754" s="3" t="s">
        <v>38</v>
      </c>
    </row>
    <row r="3755" spans="1:11" ht="42" customHeight="1">
      <c r="A3755" s="2" t="s">
        <v>8901</v>
      </c>
      <c r="B3755" s="2" t="s">
        <v>8902</v>
      </c>
      <c r="C3755" s="2" t="s">
        <v>17</v>
      </c>
      <c r="D3755" s="2" t="s">
        <v>18</v>
      </c>
      <c r="E3755" s="5">
        <v>-29806</v>
      </c>
      <c r="F3755" s="3" t="s">
        <v>84</v>
      </c>
      <c r="G3755" s="3" t="s">
        <v>85</v>
      </c>
      <c r="H3755" s="2" t="s">
        <v>36</v>
      </c>
      <c r="I3755" s="2" t="s">
        <v>8907</v>
      </c>
      <c r="J3755" s="3" t="str">
        <f>HYPERLINK("https://www.boe.es/gazeta/dias/1818/05/23/pdfs/GMD-1818-62.pdf#page=3","Abrir facsímil")</f>
        <v>Abrir facsímil</v>
      </c>
      <c r="K3755" s="3" t="s">
        <v>38</v>
      </c>
    </row>
    <row r="3756" spans="1:11" ht="42" customHeight="1">
      <c r="A3756" s="2" t="s">
        <v>8901</v>
      </c>
      <c r="B3756" s="2" t="s">
        <v>8902</v>
      </c>
      <c r="C3756" s="2" t="s">
        <v>68</v>
      </c>
      <c r="D3756" s="2" t="s">
        <v>69</v>
      </c>
      <c r="E3756" s="5">
        <v>-29806</v>
      </c>
      <c r="F3756" s="3" t="s">
        <v>84</v>
      </c>
      <c r="G3756" s="3" t="s">
        <v>20</v>
      </c>
      <c r="H3756" s="2" t="s">
        <v>36</v>
      </c>
      <c r="I3756" s="2" t="s">
        <v>8908</v>
      </c>
      <c r="J3756" s="3" t="str">
        <f>HYPERLINK("https://www.boe.es/gazeta/dias/1818/05/23/pdfs/GMD-1818-62.pdf#page=7","Abrir facsímil")</f>
        <v>Abrir facsímil</v>
      </c>
      <c r="K3756" s="3" t="s">
        <v>38</v>
      </c>
    </row>
    <row r="3757" spans="1:11" ht="42" customHeight="1">
      <c r="A3757" s="2" t="s">
        <v>8901</v>
      </c>
      <c r="B3757" s="2" t="s">
        <v>8902</v>
      </c>
      <c r="C3757" s="2" t="s">
        <v>17</v>
      </c>
      <c r="D3757" s="2" t="s">
        <v>18</v>
      </c>
      <c r="E3757" s="5">
        <v>-29761</v>
      </c>
      <c r="F3757" s="3" t="s">
        <v>168</v>
      </c>
      <c r="G3757" s="3" t="s">
        <v>3532</v>
      </c>
      <c r="H3757" s="2" t="s">
        <v>36</v>
      </c>
      <c r="I3757" s="2" t="s">
        <v>8909</v>
      </c>
      <c r="J3757" s="3" t="str">
        <f>HYPERLINK("https://www.boe.es/gazeta/dias/1818/07/07/pdfs/GMD-1818-81.pdf#page=6","Abrir facsímil")</f>
        <v>Abrir facsímil</v>
      </c>
      <c r="K3757" s="3" t="s">
        <v>38</v>
      </c>
    </row>
    <row r="3758" spans="1:11" ht="42" customHeight="1">
      <c r="A3758" s="2" t="s">
        <v>8901</v>
      </c>
      <c r="B3758" s="2" t="s">
        <v>8902</v>
      </c>
      <c r="C3758" s="2" t="s">
        <v>17</v>
      </c>
      <c r="D3758" s="2" t="s">
        <v>18</v>
      </c>
      <c r="E3758" s="5">
        <v>-29687</v>
      </c>
      <c r="F3758" s="3" t="s">
        <v>686</v>
      </c>
      <c r="G3758" s="3" t="s">
        <v>29</v>
      </c>
      <c r="H3758" s="2" t="s">
        <v>36</v>
      </c>
      <c r="I3758" s="2" t="s">
        <v>8910</v>
      </c>
      <c r="J3758" s="3" t="str">
        <f>HYPERLINK("https://www.boe.es/gazeta/dias/1818/09/19/pdfs/GMD-1818-113.pdf#page=4","Abrir facsímil")</f>
        <v>Abrir facsímil</v>
      </c>
      <c r="K3758" s="3" t="s">
        <v>38</v>
      </c>
    </row>
    <row r="3759" spans="1:11" ht="42" customHeight="1">
      <c r="A3759" s="2" t="s">
        <v>8901</v>
      </c>
      <c r="B3759" s="2" t="s">
        <v>8902</v>
      </c>
      <c r="C3759" s="2" t="s">
        <v>26</v>
      </c>
      <c r="D3759" s="2" t="s">
        <v>27</v>
      </c>
      <c r="E3759" s="5">
        <v>-29673</v>
      </c>
      <c r="F3759" s="3" t="s">
        <v>1099</v>
      </c>
      <c r="G3759" s="3" t="s">
        <v>29</v>
      </c>
      <c r="H3759" s="2" t="s">
        <v>36</v>
      </c>
      <c r="I3759" s="2" t="s">
        <v>8911</v>
      </c>
      <c r="J3759" s="3" t="str">
        <f>HYPERLINK("https://www.boe.es/gazeta/dias/1818/10/03/pdfs/GMD-1818-119.pdf#page=4","Abrir facsímil")</f>
        <v>Abrir facsímil</v>
      </c>
      <c r="K3759" s="3" t="s">
        <v>38</v>
      </c>
    </row>
    <row r="3760" spans="1:11" ht="42" customHeight="1">
      <c r="A3760" s="2" t="s">
        <v>8901</v>
      </c>
      <c r="B3760" s="2" t="s">
        <v>8902</v>
      </c>
      <c r="C3760" s="2" t="s">
        <v>17</v>
      </c>
      <c r="D3760" s="2" t="s">
        <v>18</v>
      </c>
      <c r="E3760" s="5">
        <v>-29670</v>
      </c>
      <c r="F3760" s="3" t="s">
        <v>48</v>
      </c>
      <c r="G3760" s="3" t="s">
        <v>29</v>
      </c>
      <c r="H3760" s="2" t="s">
        <v>36</v>
      </c>
      <c r="I3760" s="2" t="s">
        <v>8912</v>
      </c>
      <c r="J3760" s="3" t="str">
        <f>HYPERLINK("https://www.boe.es/gazeta/dias/1818/10/06/pdfs/GMD-1818-120.pdf#page=4","Abrir facsímil")</f>
        <v>Abrir facsímil</v>
      </c>
      <c r="K3760" s="3" t="s">
        <v>38</v>
      </c>
    </row>
    <row r="3761" spans="1:11" ht="42" customHeight="1">
      <c r="A3761" s="2" t="s">
        <v>8913</v>
      </c>
      <c r="B3761" s="2" t="s">
        <v>8914</v>
      </c>
      <c r="C3761" s="2" t="s">
        <v>17</v>
      </c>
      <c r="D3761" s="2" t="s">
        <v>18</v>
      </c>
      <c r="E3761" s="5">
        <v>-29652</v>
      </c>
      <c r="F3761" s="3" t="s">
        <v>741</v>
      </c>
      <c r="G3761" s="3" t="s">
        <v>29</v>
      </c>
      <c r="H3761" s="2" t="s">
        <v>36</v>
      </c>
      <c r="I3761" s="2" t="s">
        <v>8915</v>
      </c>
      <c r="J3761" s="3" t="str">
        <f>HYPERLINK("https://www.boe.es/gazeta/dias/1818/10/24/pdfs/GMD-1818-129.pdf#page=4","Abrir facsímil")</f>
        <v>Abrir facsímil</v>
      </c>
      <c r="K3761" s="3" t="s">
        <v>38</v>
      </c>
    </row>
    <row r="3762" spans="1:11" ht="42" customHeight="1">
      <c r="A3762" s="2" t="s">
        <v>8901</v>
      </c>
      <c r="B3762" s="2" t="s">
        <v>8902</v>
      </c>
      <c r="C3762" s="2" t="s">
        <v>26</v>
      </c>
      <c r="D3762" s="2" t="s">
        <v>27</v>
      </c>
      <c r="E3762" s="5">
        <v>-29624</v>
      </c>
      <c r="F3762" s="3" t="s">
        <v>131</v>
      </c>
      <c r="G3762" s="3" t="s">
        <v>1230</v>
      </c>
      <c r="H3762" s="2" t="s">
        <v>36</v>
      </c>
      <c r="I3762" s="2" t="s">
        <v>8916</v>
      </c>
      <c r="J3762" s="3" t="str">
        <f>HYPERLINK("https://www.boe.es/gazeta/dias/1818/11/21/pdfs/GMD-1818-141.pdf#page=6","Abrir facsímil")</f>
        <v>Abrir facsímil</v>
      </c>
      <c r="K3762" s="3" t="s">
        <v>38</v>
      </c>
    </row>
    <row r="3763" spans="1:11" ht="42" customHeight="1">
      <c r="A3763" s="2" t="s">
        <v>8901</v>
      </c>
      <c r="B3763" s="2" t="s">
        <v>8902</v>
      </c>
      <c r="C3763" s="2" t="s">
        <v>17</v>
      </c>
      <c r="D3763" s="2" t="s">
        <v>18</v>
      </c>
      <c r="E3763" s="5">
        <v>-29596</v>
      </c>
      <c r="F3763" s="3" t="s">
        <v>555</v>
      </c>
      <c r="G3763" s="3" t="s">
        <v>59</v>
      </c>
      <c r="H3763" s="2" t="s">
        <v>36</v>
      </c>
      <c r="I3763" s="2" t="s">
        <v>8917</v>
      </c>
      <c r="J3763" s="3" t="str">
        <f>HYPERLINK("https://www.boe.es/gazeta/dias/1818/12/19/pdfs/GMD-1818-153.pdf#page=6","Abrir facsímil")</f>
        <v>Abrir facsímil</v>
      </c>
      <c r="K3763" s="3" t="s">
        <v>38</v>
      </c>
    </row>
    <row r="3764" spans="1:11" ht="42" customHeight="1">
      <c r="A3764" s="2" t="s">
        <v>8901</v>
      </c>
      <c r="B3764" s="2" t="s">
        <v>8902</v>
      </c>
      <c r="C3764" s="2" t="s">
        <v>17</v>
      </c>
      <c r="D3764" s="2" t="s">
        <v>18</v>
      </c>
      <c r="E3764" s="5">
        <v>-29593</v>
      </c>
      <c r="F3764" s="3" t="s">
        <v>185</v>
      </c>
      <c r="G3764" s="3" t="s">
        <v>29</v>
      </c>
      <c r="H3764" s="2" t="s">
        <v>36</v>
      </c>
      <c r="I3764" s="2" t="s">
        <v>8918</v>
      </c>
      <c r="J3764" s="3" t="str">
        <f>HYPERLINK("https://www.boe.es/gazeta/dias/1818/12/22/pdfs/GMD-1818-154.pdf#page=4","Abrir facsímil")</f>
        <v>Abrir facsímil</v>
      </c>
      <c r="K3764" s="3" t="s">
        <v>38</v>
      </c>
    </row>
    <row r="3765" spans="1:11" ht="42" customHeight="1">
      <c r="A3765" s="2" t="s">
        <v>8901</v>
      </c>
      <c r="B3765" s="2" t="s">
        <v>8902</v>
      </c>
      <c r="C3765" s="2" t="s">
        <v>26</v>
      </c>
      <c r="D3765" s="2" t="s">
        <v>27</v>
      </c>
      <c r="E3765" s="5">
        <v>-29593</v>
      </c>
      <c r="F3765" s="3" t="s">
        <v>185</v>
      </c>
      <c r="G3765" s="3" t="s">
        <v>59</v>
      </c>
      <c r="H3765" s="2" t="s">
        <v>36</v>
      </c>
      <c r="I3765" s="2" t="s">
        <v>8919</v>
      </c>
      <c r="J3765" s="3" t="str">
        <f>HYPERLINK("https://www.boe.es/gazeta/dias/1818/12/22/pdfs/GMD-1818-154.pdf#page=6","Abrir facsímil")</f>
        <v>Abrir facsímil</v>
      </c>
      <c r="K3765" s="3" t="s">
        <v>38</v>
      </c>
    </row>
    <row r="3766" spans="1:11" ht="42" customHeight="1">
      <c r="A3766" s="2" t="s">
        <v>8920</v>
      </c>
      <c r="B3766" s="2" t="s">
        <v>8921</v>
      </c>
      <c r="C3766" s="2" t="s">
        <v>17</v>
      </c>
      <c r="D3766" s="2" t="s">
        <v>18</v>
      </c>
      <c r="E3766" s="5">
        <v>-29943</v>
      </c>
      <c r="F3766" s="3" t="s">
        <v>1837</v>
      </c>
      <c r="G3766" s="3" t="s">
        <v>45</v>
      </c>
      <c r="H3766" s="2" t="s">
        <v>36</v>
      </c>
      <c r="I3766" s="2" t="s">
        <v>8922</v>
      </c>
      <c r="J3766" s="3" t="str">
        <f>HYPERLINK("https://www.boe.es/gazeta/dias/1818/01/06/pdfs/GMD-1818-3.pdf#page=8","Abrir facsímil")</f>
        <v>Abrir facsímil</v>
      </c>
      <c r="K3766" s="3" t="s">
        <v>38</v>
      </c>
    </row>
    <row r="3767" spans="1:11" ht="42" customHeight="1">
      <c r="A3767" s="2" t="s">
        <v>8923</v>
      </c>
      <c r="B3767" s="2" t="s">
        <v>8924</v>
      </c>
      <c r="C3767" s="2" t="s">
        <v>57</v>
      </c>
      <c r="D3767" s="2" t="s">
        <v>18</v>
      </c>
      <c r="E3767" s="5">
        <v>-29906</v>
      </c>
      <c r="F3767" s="3" t="s">
        <v>28</v>
      </c>
      <c r="G3767" s="3" t="s">
        <v>59</v>
      </c>
      <c r="H3767" s="2" t="s">
        <v>36</v>
      </c>
      <c r="I3767" s="2" t="s">
        <v>8925</v>
      </c>
      <c r="J3767" s="3" t="str">
        <f>HYPERLINK("https://www.boe.es/gazeta/dias/1818/02/12/pdfs/GMD-1818-19.pdf#page=6","Abrir facsímil")</f>
        <v>Abrir facsímil</v>
      </c>
      <c r="K3767" s="3" t="s">
        <v>38</v>
      </c>
    </row>
    <row r="3768" spans="1:11" ht="42" customHeight="1">
      <c r="A3768" s="2" t="s">
        <v>8926</v>
      </c>
      <c r="B3768" s="2" t="s">
        <v>8927</v>
      </c>
      <c r="C3768" s="2" t="s">
        <v>33</v>
      </c>
      <c r="D3768" s="2" t="s">
        <v>18</v>
      </c>
      <c r="E3768" s="5">
        <v>-29628</v>
      </c>
      <c r="F3768" s="3" t="s">
        <v>58</v>
      </c>
      <c r="G3768" s="3" t="s">
        <v>106</v>
      </c>
      <c r="H3768" s="2" t="s">
        <v>36</v>
      </c>
      <c r="I3768" s="2" t="s">
        <v>8928</v>
      </c>
      <c r="J3768" s="3" t="str">
        <f>HYPERLINK("https://www.boe.es/gazeta/dias/1818/11/17/pdfs/GMD-1818-139.pdf#page=5","Abrir facsímil")</f>
        <v>Abrir facsímil</v>
      </c>
      <c r="K3768" s="3" t="s">
        <v>38</v>
      </c>
    </row>
    <row r="3769" spans="1:11" ht="42" customHeight="1">
      <c r="A3769" s="2" t="s">
        <v>8929</v>
      </c>
      <c r="B3769" s="2" t="s">
        <v>8930</v>
      </c>
      <c r="C3769" s="2" t="s">
        <v>26</v>
      </c>
      <c r="D3769" s="2" t="s">
        <v>27</v>
      </c>
      <c r="E3769" s="5">
        <v>-29605</v>
      </c>
      <c r="F3769" s="3" t="s">
        <v>888</v>
      </c>
      <c r="G3769" s="3" t="s">
        <v>889</v>
      </c>
      <c r="H3769" s="2" t="s">
        <v>36</v>
      </c>
      <c r="I3769" s="2" t="s">
        <v>8931</v>
      </c>
      <c r="J3769" s="3" t="str">
        <f>HYPERLINK("https://www.boe.es/gazeta/dias/1818/12/10/pdfs/GMD-1818-149.pdf#page=6","Abrir facsímil")</f>
        <v>Abrir facsímil</v>
      </c>
      <c r="K3769" s="3" t="s">
        <v>38</v>
      </c>
    </row>
    <row r="3770" spans="1:11" ht="42" customHeight="1">
      <c r="A3770" s="2" t="s">
        <v>8932</v>
      </c>
      <c r="B3770" s="2" t="s">
        <v>8933</v>
      </c>
      <c r="C3770" s="2" t="s">
        <v>68</v>
      </c>
      <c r="D3770" s="2" t="s">
        <v>69</v>
      </c>
      <c r="E3770" s="5">
        <v>-29710</v>
      </c>
      <c r="F3770" s="3" t="s">
        <v>1026</v>
      </c>
      <c r="G3770" s="3" t="s">
        <v>1626</v>
      </c>
      <c r="H3770" s="2" t="s">
        <v>36</v>
      </c>
      <c r="I3770" s="2" t="s">
        <v>8934</v>
      </c>
      <c r="J3770" s="3" t="str">
        <f>HYPERLINK("https://www.boe.es/gazeta/dias/1818/08/27/pdfs/GMD-1818-103.pdf#page=8","Abrir facsímil")</f>
        <v>Abrir facsímil</v>
      </c>
      <c r="K3770" s="3" t="s">
        <v>38</v>
      </c>
    </row>
    <row r="3771" spans="1:11" ht="42" customHeight="1">
      <c r="A3771" s="2" t="s">
        <v>8935</v>
      </c>
      <c r="B3771" s="2" t="s">
        <v>8936</v>
      </c>
      <c r="C3771" s="2" t="s">
        <v>17</v>
      </c>
      <c r="D3771" s="2" t="s">
        <v>18</v>
      </c>
      <c r="E3771" s="5">
        <v>-29768</v>
      </c>
      <c r="F3771" s="3" t="s">
        <v>253</v>
      </c>
      <c r="G3771" s="3" t="s">
        <v>45</v>
      </c>
      <c r="H3771" s="2" t="s">
        <v>36</v>
      </c>
      <c r="I3771" s="2" t="s">
        <v>8937</v>
      </c>
      <c r="J3771" s="3" t="str">
        <f>HYPERLINK("https://www.boe.es/gazeta/dias/1818/06/30/pdfs/GMD-1818-78.pdf#page=8","Abrir facsímil")</f>
        <v>Abrir facsímil</v>
      </c>
      <c r="K3771" s="3" t="s">
        <v>38</v>
      </c>
    </row>
    <row r="3772" spans="1:11" ht="42" customHeight="1">
      <c r="A3772" s="2" t="s">
        <v>8938</v>
      </c>
      <c r="B3772" s="2" t="s">
        <v>8939</v>
      </c>
      <c r="C3772" s="2" t="s">
        <v>26</v>
      </c>
      <c r="D3772" s="2" t="s">
        <v>27</v>
      </c>
      <c r="E3772" s="5">
        <v>-29605</v>
      </c>
      <c r="F3772" s="3" t="s">
        <v>888</v>
      </c>
      <c r="G3772" s="3" t="s">
        <v>85</v>
      </c>
      <c r="H3772" s="2" t="s">
        <v>36</v>
      </c>
      <c r="I3772" s="2" t="s">
        <v>8940</v>
      </c>
      <c r="J3772" s="3" t="str">
        <f>HYPERLINK("https://www.boe.es/gazeta/dias/1818/12/10/pdfs/GMD-1818-149.pdf#page=3","Abrir facsímil")</f>
        <v>Abrir facsímil</v>
      </c>
      <c r="K3772" s="3" t="s">
        <v>38</v>
      </c>
    </row>
    <row r="3773" spans="1:11" ht="42" customHeight="1">
      <c r="A3773" s="2" t="s">
        <v>8941</v>
      </c>
      <c r="B3773" s="2" t="s">
        <v>8942</v>
      </c>
      <c r="C3773" s="2" t="s">
        <v>33</v>
      </c>
      <c r="D3773" s="2" t="s">
        <v>18</v>
      </c>
      <c r="E3773" s="5">
        <v>-29799</v>
      </c>
      <c r="F3773" s="3" t="s">
        <v>135</v>
      </c>
      <c r="G3773" s="3" t="s">
        <v>120</v>
      </c>
      <c r="H3773" s="2" t="s">
        <v>36</v>
      </c>
      <c r="I3773" s="2" t="s">
        <v>8943</v>
      </c>
      <c r="J3773" s="3" t="str">
        <f>HYPERLINK("https://www.boe.es/gazeta/dias/1818/05/30/pdfs/GMD-1818-65.pdf#page=2","Abrir facsímil")</f>
        <v>Abrir facsímil</v>
      </c>
      <c r="K3773" s="3" t="s">
        <v>38</v>
      </c>
    </row>
    <row r="3774" spans="1:11" ht="42" customHeight="1">
      <c r="A3774" s="2" t="s">
        <v>8941</v>
      </c>
      <c r="B3774" s="2" t="s">
        <v>8942</v>
      </c>
      <c r="C3774" s="2" t="s">
        <v>26</v>
      </c>
      <c r="D3774" s="2" t="s">
        <v>27</v>
      </c>
      <c r="E3774" s="5">
        <v>-29785</v>
      </c>
      <c r="F3774" s="3" t="s">
        <v>1031</v>
      </c>
      <c r="G3774" s="3" t="s">
        <v>106</v>
      </c>
      <c r="H3774" s="2" t="s">
        <v>36</v>
      </c>
      <c r="I3774" s="2" t="s">
        <v>8944</v>
      </c>
      <c r="J3774" s="3" t="str">
        <f>HYPERLINK("https://www.boe.es/gazeta/dias/1818/06/13/pdfs/GMD-1818-71.pdf#page=5","Abrir facsímil")</f>
        <v>Abrir facsímil</v>
      </c>
      <c r="K3774" s="3" t="s">
        <v>38</v>
      </c>
    </row>
    <row r="3775" spans="1:11" ht="42" customHeight="1">
      <c r="A3775" s="2" t="s">
        <v>8945</v>
      </c>
      <c r="B3775" s="2" t="s">
        <v>8946</v>
      </c>
      <c r="C3775" s="2" t="s">
        <v>68</v>
      </c>
      <c r="D3775" s="2" t="s">
        <v>69</v>
      </c>
      <c r="E3775" s="5">
        <v>-29878</v>
      </c>
      <c r="F3775" s="3" t="s">
        <v>353</v>
      </c>
      <c r="G3775" s="3" t="s">
        <v>20</v>
      </c>
      <c r="H3775" s="2" t="s">
        <v>36</v>
      </c>
      <c r="I3775" s="2" t="s">
        <v>8947</v>
      </c>
      <c r="J3775" s="3" t="str">
        <f>HYPERLINK("https://www.boe.es/gazeta/dias/1818/03/12/pdfs/GMD-1818-31.pdf#page=7","Abrir facsímil")</f>
        <v>Abrir facsímil</v>
      </c>
      <c r="K3775" s="3" t="s">
        <v>38</v>
      </c>
    </row>
    <row r="3776" spans="1:11" ht="42" customHeight="1">
      <c r="A3776" s="2" t="s">
        <v>8948</v>
      </c>
      <c r="B3776" s="2" t="s">
        <v>8949</v>
      </c>
      <c r="C3776" s="2" t="s">
        <v>63</v>
      </c>
      <c r="D3776" s="2" t="s">
        <v>18</v>
      </c>
      <c r="E3776" s="5">
        <v>-29628</v>
      </c>
      <c r="F3776" s="3" t="s">
        <v>58</v>
      </c>
      <c r="G3776" s="3" t="s">
        <v>20</v>
      </c>
      <c r="H3776" s="2" t="s">
        <v>36</v>
      </c>
      <c r="I3776" s="2" t="s">
        <v>8950</v>
      </c>
      <c r="J3776" s="3" t="str">
        <f>HYPERLINK("https://www.boe.es/gazeta/dias/1818/11/17/pdfs/GMD-1818-139.pdf#page=7","Abrir facsímil")</f>
        <v>Abrir facsímil</v>
      </c>
      <c r="K3776" s="3" t="s">
        <v>38</v>
      </c>
    </row>
    <row r="3777" spans="1:11" ht="42" customHeight="1">
      <c r="A3777" s="2" t="s">
        <v>8951</v>
      </c>
      <c r="B3777" s="2" t="s">
        <v>8952</v>
      </c>
      <c r="C3777" s="2" t="s">
        <v>17</v>
      </c>
      <c r="D3777" s="2" t="s">
        <v>18</v>
      </c>
      <c r="E3777" s="5">
        <v>-29680</v>
      </c>
      <c r="F3777" s="3" t="s">
        <v>865</v>
      </c>
      <c r="G3777" s="3" t="s">
        <v>20</v>
      </c>
      <c r="H3777" s="2" t="s">
        <v>36</v>
      </c>
      <c r="I3777" s="2" t="s">
        <v>8953</v>
      </c>
      <c r="J3777" s="3" t="str">
        <f>HYPERLINK("https://www.boe.es/gazeta/dias/1818/09/26/pdfs/GMD-1818-116.pdf#page=7","Abrir facsímil")</f>
        <v>Abrir facsímil</v>
      </c>
      <c r="K3777" s="3" t="s">
        <v>38</v>
      </c>
    </row>
    <row r="3778" spans="1:11" ht="42" customHeight="1">
      <c r="A3778" s="2" t="s">
        <v>8954</v>
      </c>
      <c r="B3778" s="2" t="s">
        <v>8955</v>
      </c>
      <c r="C3778" s="2" t="s">
        <v>57</v>
      </c>
      <c r="D3778" s="2" t="s">
        <v>18</v>
      </c>
      <c r="E3778" s="5">
        <v>-29631</v>
      </c>
      <c r="F3778" s="3" t="s">
        <v>743</v>
      </c>
      <c r="G3778" s="3" t="s">
        <v>20</v>
      </c>
      <c r="H3778" s="2" t="s">
        <v>36</v>
      </c>
      <c r="I3778" s="2" t="s">
        <v>8956</v>
      </c>
      <c r="J3778" s="3" t="str">
        <f>HYPERLINK("https://www.boe.es/gazeta/dias/1818/11/14/pdfs/GMD-1818-138.pdf#page=7","Abrir facsímil")</f>
        <v>Abrir facsímil</v>
      </c>
      <c r="K3778" s="3" t="s">
        <v>38</v>
      </c>
    </row>
    <row r="3779" spans="1:11" ht="42" customHeight="1">
      <c r="A3779" s="2" t="s">
        <v>8957</v>
      </c>
      <c r="B3779" s="2" t="s">
        <v>8958</v>
      </c>
      <c r="C3779" s="2" t="s">
        <v>26</v>
      </c>
      <c r="D3779" s="2" t="s">
        <v>27</v>
      </c>
      <c r="E3779" s="5">
        <v>-29845</v>
      </c>
      <c r="F3779" s="3" t="s">
        <v>105</v>
      </c>
      <c r="G3779" s="3" t="s">
        <v>106</v>
      </c>
      <c r="H3779" s="2" t="s">
        <v>36</v>
      </c>
      <c r="I3779" s="2" t="s">
        <v>8959</v>
      </c>
      <c r="J3779" s="3" t="str">
        <f>HYPERLINK("https://www.boe.es/gazeta/dias/1818/04/14/pdfs/GMD-1818-45.pdf#page=5","Abrir facsímil")</f>
        <v>Abrir facsímil</v>
      </c>
      <c r="K3779" s="3" t="s">
        <v>38</v>
      </c>
    </row>
    <row r="3780" spans="1:11" ht="42" customHeight="1">
      <c r="A3780" s="2" t="s">
        <v>8957</v>
      </c>
      <c r="B3780" s="2" t="s">
        <v>8958</v>
      </c>
      <c r="C3780" s="2" t="s">
        <v>26</v>
      </c>
      <c r="D3780" s="2" t="s">
        <v>27</v>
      </c>
      <c r="E3780" s="5">
        <v>-29845</v>
      </c>
      <c r="F3780" s="3" t="s">
        <v>105</v>
      </c>
      <c r="G3780" s="3" t="s">
        <v>59</v>
      </c>
      <c r="H3780" s="2" t="s">
        <v>36</v>
      </c>
      <c r="I3780" s="2" t="s">
        <v>8960</v>
      </c>
      <c r="J3780" s="3" t="str">
        <f>HYPERLINK("https://www.boe.es/gazeta/dias/1818/04/14/pdfs/GMD-1818-45.pdf#page=6","Abrir facsímil")</f>
        <v>Abrir facsímil</v>
      </c>
      <c r="K3780" s="3" t="s">
        <v>38</v>
      </c>
    </row>
    <row r="3781" spans="1:11" ht="42" customHeight="1">
      <c r="A3781" s="2" t="s">
        <v>8957</v>
      </c>
      <c r="B3781" s="2" t="s">
        <v>8958</v>
      </c>
      <c r="C3781" s="2" t="s">
        <v>26</v>
      </c>
      <c r="D3781" s="2" t="s">
        <v>27</v>
      </c>
      <c r="E3781" s="5">
        <v>-29607</v>
      </c>
      <c r="F3781" s="3" t="s">
        <v>704</v>
      </c>
      <c r="G3781" s="3" t="s">
        <v>20</v>
      </c>
      <c r="H3781" s="2" t="s">
        <v>36</v>
      </c>
      <c r="I3781" s="2" t="s">
        <v>8961</v>
      </c>
      <c r="J3781" s="3" t="str">
        <f>HYPERLINK("https://www.boe.es/gazeta/dias/1818/12/08/pdfs/GMD-1818-148.pdf#page=7","Abrir facsímil")</f>
        <v>Abrir facsímil</v>
      </c>
      <c r="K3781" s="3" t="s">
        <v>38</v>
      </c>
    </row>
    <row r="3782" spans="1:11" ht="42" customHeight="1">
      <c r="A3782" s="2" t="s">
        <v>8962</v>
      </c>
      <c r="B3782" s="2" t="s">
        <v>8963</v>
      </c>
      <c r="C3782" s="2" t="s">
        <v>17</v>
      </c>
      <c r="D3782" s="2" t="s">
        <v>18</v>
      </c>
      <c r="E3782" s="5">
        <v>-29624</v>
      </c>
      <c r="F3782" s="3" t="s">
        <v>131</v>
      </c>
      <c r="G3782" s="3" t="s">
        <v>20</v>
      </c>
      <c r="H3782" s="2" t="s">
        <v>36</v>
      </c>
      <c r="I3782" s="2" t="s">
        <v>8964</v>
      </c>
      <c r="J3782" s="3" t="str">
        <f>HYPERLINK("https://www.boe.es/gazeta/dias/1818/11/21/pdfs/GMD-1818-141.pdf#page=7","Abrir facsímil")</f>
        <v>Abrir facsímil</v>
      </c>
      <c r="K3782" s="3" t="s">
        <v>38</v>
      </c>
    </row>
    <row r="3783" spans="1:11" ht="42" customHeight="1">
      <c r="A3783" s="2" t="s">
        <v>8965</v>
      </c>
      <c r="B3783" s="2" t="s">
        <v>8966</v>
      </c>
      <c r="C3783" s="2" t="s">
        <v>63</v>
      </c>
      <c r="D3783" s="2" t="s">
        <v>18</v>
      </c>
      <c r="E3783" s="5">
        <v>-29759</v>
      </c>
      <c r="F3783" s="3" t="s">
        <v>405</v>
      </c>
      <c r="G3783" s="3" t="s">
        <v>45</v>
      </c>
      <c r="H3783" s="2" t="s">
        <v>36</v>
      </c>
      <c r="I3783" s="2" t="s">
        <v>8967</v>
      </c>
      <c r="J3783" s="3" t="str">
        <f>HYPERLINK("https://www.boe.es/gazeta/dias/1818/07/09/pdfs/GMD-1818-82.pdf#page=8","Abrir facsímil")</f>
        <v>Abrir facsímil</v>
      </c>
      <c r="K3783" s="3" t="s">
        <v>38</v>
      </c>
    </row>
    <row r="3784" spans="1:11" ht="42" customHeight="1">
      <c r="A3784" s="2" t="s">
        <v>8968</v>
      </c>
      <c r="B3784" s="2" t="s">
        <v>8969</v>
      </c>
      <c r="C3784" s="2" t="s">
        <v>17</v>
      </c>
      <c r="D3784" s="2" t="s">
        <v>18</v>
      </c>
      <c r="E3784" s="5">
        <v>-29873</v>
      </c>
      <c r="F3784" s="3" t="s">
        <v>323</v>
      </c>
      <c r="G3784" s="3" t="s">
        <v>59</v>
      </c>
      <c r="H3784" s="2" t="s">
        <v>36</v>
      </c>
      <c r="I3784" s="2" t="s">
        <v>8970</v>
      </c>
      <c r="J3784" s="3" t="str">
        <f>HYPERLINK("https://www.boe.es/gazeta/dias/1818/03/17/pdfs/GMD-1818-33.pdf#page=6","Abrir facsímil")</f>
        <v>Abrir facsímil</v>
      </c>
      <c r="K3784" s="3" t="s">
        <v>38</v>
      </c>
    </row>
    <row r="3785" spans="1:11" ht="42" customHeight="1">
      <c r="A3785" s="2" t="s">
        <v>8971</v>
      </c>
      <c r="B3785" s="2" t="s">
        <v>8972</v>
      </c>
      <c r="C3785" s="2" t="s">
        <v>17</v>
      </c>
      <c r="D3785" s="2" t="s">
        <v>18</v>
      </c>
      <c r="E3785" s="5">
        <v>-29824</v>
      </c>
      <c r="F3785" s="3" t="s">
        <v>101</v>
      </c>
      <c r="G3785" s="3" t="s">
        <v>20</v>
      </c>
      <c r="H3785" s="2" t="s">
        <v>36</v>
      </c>
      <c r="I3785" s="2" t="s">
        <v>8973</v>
      </c>
      <c r="J3785" s="3" t="str">
        <f>HYPERLINK("https://www.boe.es/gazeta/dias/1818/05/05/pdfs/GMD-1818-54.pdf#page=7","Abrir facsímil")</f>
        <v>Abrir facsímil</v>
      </c>
      <c r="K3785" s="3" t="s">
        <v>38</v>
      </c>
    </row>
    <row r="3786" spans="1:11" ht="42" customHeight="1">
      <c r="A3786" s="2" t="s">
        <v>8974</v>
      </c>
      <c r="B3786" s="2" t="s">
        <v>8974</v>
      </c>
      <c r="C3786" s="2" t="s">
        <v>17</v>
      </c>
      <c r="D3786" s="2" t="s">
        <v>18</v>
      </c>
      <c r="E3786" s="5">
        <v>-29801</v>
      </c>
      <c r="F3786" s="3" t="s">
        <v>288</v>
      </c>
      <c r="G3786" s="3" t="s">
        <v>20</v>
      </c>
      <c r="H3786" s="2" t="s">
        <v>36</v>
      </c>
      <c r="I3786" s="2" t="s">
        <v>8975</v>
      </c>
      <c r="J3786" s="3" t="str">
        <f>HYPERLINK("https://www.boe.es/gazeta/dias/1818/05/28/pdfs/GMD-1818-64.pdf#page=7","Abrir facsímil")</f>
        <v>Abrir facsímil</v>
      </c>
      <c r="K3786" s="3" t="s">
        <v>38</v>
      </c>
    </row>
    <row r="3787" spans="1:11" ht="42" customHeight="1">
      <c r="A3787" s="2" t="s">
        <v>8976</v>
      </c>
      <c r="B3787" s="2" t="s">
        <v>8977</v>
      </c>
      <c r="C3787" s="2" t="s">
        <v>63</v>
      </c>
      <c r="D3787" s="2" t="s">
        <v>18</v>
      </c>
      <c r="E3787" s="5">
        <v>-29904</v>
      </c>
      <c r="F3787" s="3" t="s">
        <v>451</v>
      </c>
      <c r="G3787" s="3" t="s">
        <v>45</v>
      </c>
      <c r="H3787" s="2" t="s">
        <v>36</v>
      </c>
      <c r="I3787" s="2" t="s">
        <v>8978</v>
      </c>
      <c r="J3787" s="3" t="str">
        <f>HYPERLINK("https://www.boe.es/gazeta/dias/1818/02/14/pdfs/GMD-1818-20.pdf#page=8","Abrir facsímil")</f>
        <v>Abrir facsímil</v>
      </c>
      <c r="K3787" s="3" t="s">
        <v>38</v>
      </c>
    </row>
    <row r="3788" spans="1:11" ht="42" customHeight="1">
      <c r="A3788" s="2" t="s">
        <v>8979</v>
      </c>
      <c r="B3788" s="2" t="s">
        <v>8980</v>
      </c>
      <c r="C3788" s="2" t="s">
        <v>97</v>
      </c>
      <c r="D3788" s="2" t="s">
        <v>18</v>
      </c>
      <c r="E3788" s="5">
        <v>-29747</v>
      </c>
      <c r="F3788" s="3" t="s">
        <v>536</v>
      </c>
      <c r="G3788" s="3" t="s">
        <v>45</v>
      </c>
      <c r="H3788" s="2" t="s">
        <v>36</v>
      </c>
      <c r="I3788" s="2" t="s">
        <v>8981</v>
      </c>
      <c r="J3788" s="3" t="str">
        <f>HYPERLINK("https://www.boe.es/gazeta/dias/1818/07/21/pdfs/GMD-1818-87.pdf#page=8","Abrir facsímil")</f>
        <v>Abrir facsímil</v>
      </c>
      <c r="K3788" s="3" t="s">
        <v>38</v>
      </c>
    </row>
    <row r="3789" spans="1:11" ht="42" customHeight="1">
      <c r="A3789" s="2" t="s">
        <v>8982</v>
      </c>
      <c r="B3789" s="2" t="s">
        <v>8983</v>
      </c>
      <c r="C3789" s="2" t="s">
        <v>17</v>
      </c>
      <c r="D3789" s="2" t="s">
        <v>18</v>
      </c>
      <c r="E3789" s="5">
        <v>-29948</v>
      </c>
      <c r="F3789" s="3" t="s">
        <v>199</v>
      </c>
      <c r="G3789" s="3" t="s">
        <v>8984</v>
      </c>
      <c r="H3789" s="2" t="s">
        <v>36</v>
      </c>
      <c r="I3789" s="2" t="s">
        <v>8985</v>
      </c>
      <c r="J3789" s="3" t="str">
        <f>HYPERLINK("https://www.boe.es/gazeta/dias/1818/01/01/pdfs/GMD-1818-1.pdf#page=2","Abrir facsímil")</f>
        <v>Abrir facsímil</v>
      </c>
      <c r="K3789" s="3" t="s">
        <v>38</v>
      </c>
    </row>
    <row r="3790" spans="1:11" ht="42" customHeight="1">
      <c r="A3790" s="2" t="s">
        <v>8986</v>
      </c>
      <c r="B3790" s="2" t="s">
        <v>8987</v>
      </c>
      <c r="C3790" s="2" t="s">
        <v>26</v>
      </c>
      <c r="D3790" s="2" t="s">
        <v>27</v>
      </c>
      <c r="E3790" s="5">
        <v>-29936</v>
      </c>
      <c r="F3790" s="3" t="s">
        <v>398</v>
      </c>
      <c r="G3790" s="3" t="s">
        <v>59</v>
      </c>
      <c r="H3790" s="2" t="s">
        <v>36</v>
      </c>
      <c r="I3790" s="2" t="s">
        <v>8988</v>
      </c>
      <c r="J3790" s="3" t="str">
        <f>HYPERLINK("https://www.boe.es/gazeta/dias/1818/01/13/pdfs/GMD-1818-6.pdf#page=6","Abrir facsímil")</f>
        <v>Abrir facsímil</v>
      </c>
      <c r="K3790" s="3" t="s">
        <v>38</v>
      </c>
    </row>
    <row r="3791" spans="1:11" ht="42" customHeight="1">
      <c r="A3791" s="2" t="s">
        <v>8989</v>
      </c>
      <c r="B3791" s="2" t="s">
        <v>8990</v>
      </c>
      <c r="C3791" s="2" t="s">
        <v>26</v>
      </c>
      <c r="D3791" s="2" t="s">
        <v>27</v>
      </c>
      <c r="E3791" s="5">
        <v>-29621</v>
      </c>
      <c r="F3791" s="3" t="s">
        <v>1561</v>
      </c>
      <c r="G3791" s="3" t="s">
        <v>1562</v>
      </c>
      <c r="H3791" s="2" t="s">
        <v>21</v>
      </c>
      <c r="I3791" s="2" t="s">
        <v>8991</v>
      </c>
      <c r="J3791" s="3" t="str">
        <f>HYPERLINK("https://www.boe.es/gazeta/dias/1818/11/24/pdfs/GMD-1818-142.pdf#page=7","Abrir facsímil")</f>
        <v>Abrir facsímil</v>
      </c>
      <c r="K3791" s="3" t="s">
        <v>23</v>
      </c>
    </row>
    <row r="3792" spans="1:11" ht="42" customHeight="1">
      <c r="A3792" s="2" t="s">
        <v>8992</v>
      </c>
      <c r="B3792" s="2" t="s">
        <v>8993</v>
      </c>
      <c r="C3792" s="2" t="s">
        <v>57</v>
      </c>
      <c r="D3792" s="2" t="s">
        <v>18</v>
      </c>
      <c r="E3792" s="5">
        <v>-29736</v>
      </c>
      <c r="F3792" s="3" t="s">
        <v>581</v>
      </c>
      <c r="G3792" s="3" t="s">
        <v>59</v>
      </c>
      <c r="H3792" s="2" t="s">
        <v>36</v>
      </c>
      <c r="I3792" s="2" t="s">
        <v>8994</v>
      </c>
      <c r="J3792" s="3" t="str">
        <f>HYPERLINK("https://www.boe.es/gazeta/dias/1818/08/01/pdfs/GMD-1818-92.pdf#page=6","Abrir facsímil")</f>
        <v>Abrir facsímil</v>
      </c>
      <c r="K3792" s="3" t="s">
        <v>38</v>
      </c>
    </row>
    <row r="3793" spans="1:11" ht="42" customHeight="1">
      <c r="A3793" s="2" t="s">
        <v>8995</v>
      </c>
      <c r="B3793" s="2" t="s">
        <v>8996</v>
      </c>
      <c r="C3793" s="2" t="s">
        <v>68</v>
      </c>
      <c r="D3793" s="2" t="s">
        <v>69</v>
      </c>
      <c r="E3793" s="5">
        <v>-29691</v>
      </c>
      <c r="F3793" s="3" t="s">
        <v>144</v>
      </c>
      <c r="G3793" s="3" t="s">
        <v>45</v>
      </c>
      <c r="H3793" s="2" t="s">
        <v>36</v>
      </c>
      <c r="I3793" s="2" t="s">
        <v>8997</v>
      </c>
      <c r="J3793" s="3" t="str">
        <f>HYPERLINK("https://www.boe.es/gazeta/dias/1818/09/15/pdfs/GMD-1818-111.pdf#page=8","Abrir facsímil")</f>
        <v>Abrir facsímil</v>
      </c>
      <c r="K3793" s="3" t="s">
        <v>38</v>
      </c>
    </row>
    <row r="3794" spans="1:11" ht="42" customHeight="1">
      <c r="A3794" s="2" t="s">
        <v>8998</v>
      </c>
      <c r="B3794" s="2" t="s">
        <v>8999</v>
      </c>
      <c r="C3794" s="2" t="s">
        <v>17</v>
      </c>
      <c r="D3794" s="2" t="s">
        <v>18</v>
      </c>
      <c r="E3794" s="5">
        <v>-29752</v>
      </c>
      <c r="F3794" s="3" t="s">
        <v>165</v>
      </c>
      <c r="G3794" s="3" t="s">
        <v>85</v>
      </c>
      <c r="H3794" s="2" t="s">
        <v>36</v>
      </c>
      <c r="I3794" s="2" t="s">
        <v>9000</v>
      </c>
      <c r="J3794" s="3" t="str">
        <f>HYPERLINK("https://www.boe.es/gazeta/dias/1818/07/16/pdfs/GMD-1818-85.pdf#page=3","Abrir facsímil")</f>
        <v>Abrir facsímil</v>
      </c>
      <c r="K3794" s="3" t="s">
        <v>38</v>
      </c>
    </row>
    <row r="3795" spans="1:11" ht="42" customHeight="1">
      <c r="A3795" s="2" t="s">
        <v>8998</v>
      </c>
      <c r="B3795" s="2" t="s">
        <v>8999</v>
      </c>
      <c r="C3795" s="2" t="s">
        <v>26</v>
      </c>
      <c r="D3795" s="2" t="s">
        <v>27</v>
      </c>
      <c r="E3795" s="5">
        <v>-29752</v>
      </c>
      <c r="F3795" s="3" t="s">
        <v>165</v>
      </c>
      <c r="G3795" s="3" t="s">
        <v>29</v>
      </c>
      <c r="H3795" s="2" t="s">
        <v>36</v>
      </c>
      <c r="I3795" s="2" t="s">
        <v>9001</v>
      </c>
      <c r="J3795" s="3" t="str">
        <f>HYPERLINK("https://www.boe.es/gazeta/dias/1818/07/16/pdfs/GMD-1818-85.pdf#page=4","Abrir facsímil")</f>
        <v>Abrir facsímil</v>
      </c>
      <c r="K3795" s="3" t="s">
        <v>38</v>
      </c>
    </row>
    <row r="3796" spans="1:11" ht="42" customHeight="1">
      <c r="A3796" s="2" t="s">
        <v>9002</v>
      </c>
      <c r="B3796" s="2" t="s">
        <v>9003</v>
      </c>
      <c r="C3796" s="2" t="s">
        <v>215</v>
      </c>
      <c r="D3796" s="2" t="s">
        <v>18</v>
      </c>
      <c r="E3796" s="5">
        <v>-29621</v>
      </c>
      <c r="F3796" s="3" t="s">
        <v>1561</v>
      </c>
      <c r="G3796" s="3" t="s">
        <v>106</v>
      </c>
      <c r="H3796" s="2" t="s">
        <v>36</v>
      </c>
      <c r="I3796" s="2" t="s">
        <v>9004</v>
      </c>
      <c r="J3796" s="3" t="str">
        <f>HYPERLINK("https://www.boe.es/gazeta/dias/1818/11/24/pdfs/GMD-1818-142.pdf#page=5","Abrir facsímil")</f>
        <v>Abrir facsímil</v>
      </c>
      <c r="K3796" s="3" t="s">
        <v>38</v>
      </c>
    </row>
    <row r="3797" spans="1:11" ht="42" customHeight="1">
      <c r="A3797" s="2" t="s">
        <v>9005</v>
      </c>
      <c r="B3797" s="2" t="s">
        <v>9006</v>
      </c>
      <c r="C3797" s="2" t="s">
        <v>68</v>
      </c>
      <c r="D3797" s="2" t="s">
        <v>69</v>
      </c>
      <c r="E3797" s="5">
        <v>-29813</v>
      </c>
      <c r="F3797" s="3" t="s">
        <v>839</v>
      </c>
      <c r="G3797" s="3" t="s">
        <v>20</v>
      </c>
      <c r="H3797" s="2" t="s">
        <v>36</v>
      </c>
      <c r="I3797" s="2" t="s">
        <v>9007</v>
      </c>
      <c r="J3797" s="3" t="str">
        <f>HYPERLINK("https://www.boe.es/gazeta/dias/1818/05/16/pdfs/GMD-1818-59.pdf#page=7","Abrir facsímil")</f>
        <v>Abrir facsímil</v>
      </c>
      <c r="K3797" s="3" t="s">
        <v>38</v>
      </c>
    </row>
    <row r="3798" spans="1:11" ht="42" customHeight="1">
      <c r="A3798" s="2" t="s">
        <v>9008</v>
      </c>
      <c r="B3798" s="2" t="s">
        <v>9009</v>
      </c>
      <c r="C3798" s="2" t="s">
        <v>68</v>
      </c>
      <c r="D3798" s="2" t="s">
        <v>69</v>
      </c>
      <c r="E3798" s="5">
        <v>-29766</v>
      </c>
      <c r="F3798" s="3" t="s">
        <v>276</v>
      </c>
      <c r="G3798" s="3" t="s">
        <v>45</v>
      </c>
      <c r="H3798" s="2" t="s">
        <v>36</v>
      </c>
      <c r="I3798" s="2" t="s">
        <v>9010</v>
      </c>
      <c r="J3798" s="3" t="str">
        <f>HYPERLINK("https://www.boe.es/gazeta/dias/1818/07/02/pdfs/GMD-1818-79.pdf#page=8","Abrir facsímil")</f>
        <v>Abrir facsímil</v>
      </c>
      <c r="K3798" s="3" t="s">
        <v>38</v>
      </c>
    </row>
    <row r="3799" spans="1:11" ht="42" customHeight="1">
      <c r="A3799" s="2" t="s">
        <v>9011</v>
      </c>
      <c r="B3799" s="2" t="s">
        <v>9012</v>
      </c>
      <c r="C3799" s="2" t="s">
        <v>26</v>
      </c>
      <c r="D3799" s="2" t="s">
        <v>27</v>
      </c>
      <c r="E3799" s="5">
        <v>-29918</v>
      </c>
      <c r="F3799" s="3" t="s">
        <v>89</v>
      </c>
      <c r="G3799" s="3" t="s">
        <v>90</v>
      </c>
      <c r="H3799" s="2" t="s">
        <v>36</v>
      </c>
      <c r="I3799" s="2" t="s">
        <v>9013</v>
      </c>
      <c r="J3799" s="3" t="str">
        <f>HYPERLINK("https://www.boe.es/gazeta/dias/1818/01/31/pdfs/GMD-1818-14.pdf#page=10","Abrir facsímil")</f>
        <v>Abrir facsímil</v>
      </c>
      <c r="K3799" s="3" t="s">
        <v>38</v>
      </c>
    </row>
    <row r="3800" spans="1:11" ht="42" customHeight="1">
      <c r="A3800" s="2" t="s">
        <v>9014</v>
      </c>
      <c r="B3800" s="2" t="s">
        <v>9015</v>
      </c>
      <c r="C3800" s="2" t="s">
        <v>17</v>
      </c>
      <c r="D3800" s="2" t="s">
        <v>18</v>
      </c>
      <c r="E3800" s="5">
        <v>-29892</v>
      </c>
      <c r="F3800" s="3" t="s">
        <v>39</v>
      </c>
      <c r="G3800" s="3" t="s">
        <v>3970</v>
      </c>
      <c r="H3800" s="2" t="s">
        <v>36</v>
      </c>
      <c r="I3800" s="2" t="s">
        <v>9016</v>
      </c>
      <c r="J3800" s="3" t="str">
        <f>HYPERLINK("https://www.boe.es/gazeta/dias/1818/02/26/pdfs/GMD-1818-25.pdf#page=4","Abrir facsímil")</f>
        <v>Abrir facsímil</v>
      </c>
      <c r="K3800" s="3" t="s">
        <v>38</v>
      </c>
    </row>
    <row r="3801" spans="1:11" ht="42" customHeight="1">
      <c r="A3801" s="2" t="s">
        <v>9017</v>
      </c>
      <c r="B3801" s="2" t="s">
        <v>9018</v>
      </c>
      <c r="C3801" s="2" t="s">
        <v>68</v>
      </c>
      <c r="D3801" s="2" t="s">
        <v>69</v>
      </c>
      <c r="E3801" s="5">
        <v>-29771</v>
      </c>
      <c r="F3801" s="3" t="s">
        <v>1260</v>
      </c>
      <c r="G3801" s="3" t="s">
        <v>45</v>
      </c>
      <c r="H3801" s="2" t="s">
        <v>36</v>
      </c>
      <c r="I3801" s="2" t="s">
        <v>9019</v>
      </c>
      <c r="J3801" s="3" t="str">
        <f>HYPERLINK("https://www.boe.es/gazeta/dias/1818/06/27/pdfs/GMD-1818-77.pdf#page=8","Abrir facsímil")</f>
        <v>Abrir facsímil</v>
      </c>
      <c r="K3801" s="3" t="s">
        <v>38</v>
      </c>
    </row>
    <row r="3802" spans="1:11" ht="42" customHeight="1">
      <c r="A3802" s="2" t="s">
        <v>9020</v>
      </c>
      <c r="B3802" s="2" t="s">
        <v>9020</v>
      </c>
      <c r="C3802" s="2" t="s">
        <v>26</v>
      </c>
      <c r="D3802" s="2" t="s">
        <v>27</v>
      </c>
      <c r="E3802" s="5">
        <v>-29586</v>
      </c>
      <c r="F3802" s="3" t="s">
        <v>683</v>
      </c>
      <c r="G3802" s="3" t="s">
        <v>20</v>
      </c>
      <c r="H3802" s="2" t="s">
        <v>36</v>
      </c>
      <c r="I3802" s="2" t="s">
        <v>9021</v>
      </c>
      <c r="J3802" s="3" t="str">
        <f>HYPERLINK("https://www.boe.es/gazeta/dias/1818/12/29/pdfs/GMD-1818-158.pdf#page=7","Abrir facsímil")</f>
        <v>Abrir facsímil</v>
      </c>
      <c r="K3802" s="3" t="s">
        <v>38</v>
      </c>
    </row>
    <row r="3803" spans="1:11" ht="42" customHeight="1">
      <c r="A3803" s="2" t="s">
        <v>9022</v>
      </c>
      <c r="B3803" s="2" t="s">
        <v>9023</v>
      </c>
      <c r="C3803" s="2" t="s">
        <v>63</v>
      </c>
      <c r="D3803" s="2" t="s">
        <v>18</v>
      </c>
      <c r="E3803" s="5">
        <v>-29621</v>
      </c>
      <c r="F3803" s="3" t="s">
        <v>1561</v>
      </c>
      <c r="G3803" s="3" t="s">
        <v>45</v>
      </c>
      <c r="H3803" s="2" t="s">
        <v>36</v>
      </c>
      <c r="I3803" s="2" t="s">
        <v>9024</v>
      </c>
      <c r="J3803" s="3" t="str">
        <f>HYPERLINK("https://www.boe.es/gazeta/dias/1818/11/24/pdfs/GMD-1818-142.pdf#page=8","Abrir facsímil")</f>
        <v>Abrir facsímil</v>
      </c>
      <c r="K3803" s="3" t="s">
        <v>38</v>
      </c>
    </row>
    <row r="3804" spans="1:11" ht="42" customHeight="1">
      <c r="A3804" s="2" t="s">
        <v>9025</v>
      </c>
      <c r="B3804" s="2" t="s">
        <v>9026</v>
      </c>
      <c r="C3804" s="2" t="s">
        <v>68</v>
      </c>
      <c r="D3804" s="2" t="s">
        <v>69</v>
      </c>
      <c r="E3804" s="5">
        <v>-29652</v>
      </c>
      <c r="F3804" s="3" t="s">
        <v>741</v>
      </c>
      <c r="G3804" s="3" t="s">
        <v>20</v>
      </c>
      <c r="H3804" s="2" t="s">
        <v>36</v>
      </c>
      <c r="I3804" s="2" t="s">
        <v>9027</v>
      </c>
      <c r="J3804" s="3" t="str">
        <f>HYPERLINK("https://www.boe.es/gazeta/dias/1818/10/24/pdfs/GMD-1818-129.pdf#page=7","Abrir facsímil")</f>
        <v>Abrir facsímil</v>
      </c>
      <c r="K3804" s="3" t="s">
        <v>38</v>
      </c>
    </row>
    <row r="3805" spans="1:11" ht="42" customHeight="1">
      <c r="A3805" s="2" t="s">
        <v>9028</v>
      </c>
      <c r="B3805" s="2" t="s">
        <v>9028</v>
      </c>
      <c r="C3805" s="2" t="s">
        <v>26</v>
      </c>
      <c r="D3805" s="2" t="s">
        <v>27</v>
      </c>
      <c r="E3805" s="5">
        <v>-29719</v>
      </c>
      <c r="F3805" s="3" t="s">
        <v>243</v>
      </c>
      <c r="G3805" s="3" t="s">
        <v>244</v>
      </c>
      <c r="H3805" s="2" t="s">
        <v>36</v>
      </c>
      <c r="I3805" s="2" t="s">
        <v>9029</v>
      </c>
      <c r="J3805" s="3" t="str">
        <f>HYPERLINK("https://www.boe.es/gazeta/dias/1818/08/18/pdfs/GMD-1818-99.pdf#page=5","Abrir facsímil")</f>
        <v>Abrir facsímil</v>
      </c>
      <c r="K3805" s="3" t="s">
        <v>38</v>
      </c>
    </row>
    <row r="3806" spans="1:11" ht="42" customHeight="1">
      <c r="A3806" s="2" t="s">
        <v>9028</v>
      </c>
      <c r="B3806" s="2" t="s">
        <v>9028</v>
      </c>
      <c r="C3806" s="2" t="s">
        <v>26</v>
      </c>
      <c r="D3806" s="2" t="s">
        <v>27</v>
      </c>
      <c r="E3806" s="5">
        <v>-29719</v>
      </c>
      <c r="F3806" s="3" t="s">
        <v>243</v>
      </c>
      <c r="G3806" s="3" t="s">
        <v>59</v>
      </c>
      <c r="H3806" s="2" t="s">
        <v>36</v>
      </c>
      <c r="I3806" s="2" t="s">
        <v>9030</v>
      </c>
      <c r="J3806" s="3" t="str">
        <f>HYPERLINK("https://www.boe.es/gazeta/dias/1818/08/18/pdfs/GMD-1818-99.pdf#page=6","Abrir facsímil")</f>
        <v>Abrir facsímil</v>
      </c>
      <c r="K3806" s="3" t="s">
        <v>38</v>
      </c>
    </row>
    <row r="3807" spans="1:11" ht="42" customHeight="1">
      <c r="A3807" s="2" t="s">
        <v>9031</v>
      </c>
      <c r="B3807" s="2" t="s">
        <v>9032</v>
      </c>
      <c r="C3807" s="2" t="s">
        <v>26</v>
      </c>
      <c r="D3807" s="2" t="s">
        <v>27</v>
      </c>
      <c r="E3807" s="5">
        <v>-29808</v>
      </c>
      <c r="F3807" s="3" t="s">
        <v>80</v>
      </c>
      <c r="G3807" s="3" t="s">
        <v>2556</v>
      </c>
      <c r="H3807" s="2" t="s">
        <v>36</v>
      </c>
      <c r="I3807" s="2" t="s">
        <v>9033</v>
      </c>
      <c r="J3807" s="3" t="str">
        <f>HYPERLINK("https://www.boe.es/gazeta/dias/1818/05/21/pdfs/GMD-1818-61.pdf#page=8","Abrir facsímil")</f>
        <v>Abrir facsímil</v>
      </c>
      <c r="K3807" s="3" t="s">
        <v>38</v>
      </c>
    </row>
    <row r="3808" spans="1:11" ht="42" customHeight="1">
      <c r="A3808" s="2" t="s">
        <v>9034</v>
      </c>
      <c r="B3808" s="2" t="s">
        <v>9035</v>
      </c>
      <c r="C3808" s="2" t="s">
        <v>26</v>
      </c>
      <c r="D3808" s="2" t="s">
        <v>27</v>
      </c>
      <c r="E3808" s="5">
        <v>-29764</v>
      </c>
      <c r="F3808" s="3" t="s">
        <v>464</v>
      </c>
      <c r="G3808" s="3" t="s">
        <v>106</v>
      </c>
      <c r="H3808" s="2" t="s">
        <v>36</v>
      </c>
      <c r="I3808" s="2" t="s">
        <v>9036</v>
      </c>
      <c r="J3808" s="3" t="str">
        <f>HYPERLINK("https://www.boe.es/gazeta/dias/1818/07/04/pdfs/GMD-1818-80.pdf#page=5","Abrir facsímil")</f>
        <v>Abrir facsímil</v>
      </c>
      <c r="K3808" s="3" t="s">
        <v>38</v>
      </c>
    </row>
    <row r="3809" spans="1:11" ht="42" customHeight="1">
      <c r="A3809" s="2" t="s">
        <v>9037</v>
      </c>
      <c r="B3809" s="2" t="s">
        <v>9038</v>
      </c>
      <c r="C3809" s="2" t="s">
        <v>26</v>
      </c>
      <c r="D3809" s="2" t="s">
        <v>27</v>
      </c>
      <c r="E3809" s="5">
        <v>-29717</v>
      </c>
      <c r="F3809" s="3" t="s">
        <v>1644</v>
      </c>
      <c r="G3809" s="3" t="s">
        <v>45</v>
      </c>
      <c r="H3809" s="2" t="s">
        <v>36</v>
      </c>
      <c r="I3809" s="2" t="s">
        <v>9039</v>
      </c>
      <c r="J3809" s="3" t="str">
        <f>HYPERLINK("https://www.boe.es/gazeta/dias/1818/08/20/pdfs/GMD-1818-100.pdf#page=8","Abrir facsímil")</f>
        <v>Abrir facsímil</v>
      </c>
      <c r="K3809" s="3" t="s">
        <v>38</v>
      </c>
    </row>
    <row r="3810" spans="1:11" ht="42" customHeight="1">
      <c r="A3810" s="2" t="s">
        <v>9040</v>
      </c>
      <c r="B3810" s="2" t="s">
        <v>9041</v>
      </c>
      <c r="C3810" s="2" t="s">
        <v>26</v>
      </c>
      <c r="D3810" s="2" t="s">
        <v>27</v>
      </c>
      <c r="E3810" s="5">
        <v>-29897</v>
      </c>
      <c r="F3810" s="3" t="s">
        <v>318</v>
      </c>
      <c r="G3810" s="3" t="s">
        <v>106</v>
      </c>
      <c r="H3810" s="2" t="s">
        <v>36</v>
      </c>
      <c r="I3810" s="2" t="s">
        <v>9042</v>
      </c>
      <c r="J3810" s="3" t="str">
        <f>HYPERLINK("https://www.boe.es/gazeta/dias/1818/02/21/pdfs/GMD-1818-23.pdf#page=5","Abrir facsímil")</f>
        <v>Abrir facsímil</v>
      </c>
      <c r="K3810" s="3" t="s">
        <v>38</v>
      </c>
    </row>
    <row r="3811" spans="1:11" ht="42" customHeight="1">
      <c r="A3811" s="2" t="s">
        <v>9040</v>
      </c>
      <c r="B3811" s="2" t="s">
        <v>9041</v>
      </c>
      <c r="C3811" s="2" t="s">
        <v>26</v>
      </c>
      <c r="D3811" s="2" t="s">
        <v>27</v>
      </c>
      <c r="E3811" s="5">
        <v>-29887</v>
      </c>
      <c r="F3811" s="3" t="s">
        <v>613</v>
      </c>
      <c r="G3811" s="3" t="s">
        <v>59</v>
      </c>
      <c r="H3811" s="2" t="s">
        <v>36</v>
      </c>
      <c r="I3811" s="2" t="s">
        <v>9043</v>
      </c>
      <c r="J3811" s="3" t="str">
        <f>HYPERLINK("https://www.boe.es/gazeta/dias/1818/03/03/pdfs/GMD-1818-27.pdf#page=6","Abrir facsímil")</f>
        <v>Abrir facsímil</v>
      </c>
      <c r="K3811" s="3" t="s">
        <v>38</v>
      </c>
    </row>
    <row r="3812" spans="1:11" ht="42" customHeight="1">
      <c r="A3812" s="2" t="s">
        <v>9044</v>
      </c>
      <c r="B3812" s="2" t="s">
        <v>9045</v>
      </c>
      <c r="C3812" s="2" t="s">
        <v>26</v>
      </c>
      <c r="D3812" s="2" t="s">
        <v>27</v>
      </c>
      <c r="E3812" s="5">
        <v>-29932</v>
      </c>
      <c r="F3812" s="3" t="s">
        <v>34</v>
      </c>
      <c r="G3812" s="3" t="s">
        <v>106</v>
      </c>
      <c r="H3812" s="2" t="s">
        <v>36</v>
      </c>
      <c r="I3812" s="2" t="s">
        <v>9046</v>
      </c>
      <c r="J3812" s="3" t="str">
        <f>HYPERLINK("https://www.boe.es/gazeta/dias/1818/01/17/pdfs/GMD-1818-8.pdf#page=5","Abrir facsímil")</f>
        <v>Abrir facsímil</v>
      </c>
      <c r="K3812" s="3" t="s">
        <v>38</v>
      </c>
    </row>
    <row r="3813" spans="1:11" ht="42" customHeight="1">
      <c r="A3813" s="2" t="s">
        <v>9047</v>
      </c>
      <c r="B3813" s="2" t="s">
        <v>9047</v>
      </c>
      <c r="C3813" s="2" t="s">
        <v>17</v>
      </c>
      <c r="D3813" s="2" t="s">
        <v>18</v>
      </c>
      <c r="E3813" s="5">
        <v>-29817</v>
      </c>
      <c r="F3813" s="3" t="s">
        <v>284</v>
      </c>
      <c r="G3813" s="3" t="s">
        <v>45</v>
      </c>
      <c r="H3813" s="2" t="s">
        <v>36</v>
      </c>
      <c r="I3813" s="2" t="s">
        <v>9048</v>
      </c>
      <c r="J3813" s="3" t="str">
        <f>HYPERLINK("https://www.boe.es/gazeta/dias/1818/05/12/pdfs/GMD-1818-57.pdf#page=8","Abrir facsímil")</f>
        <v>Abrir facsímil</v>
      </c>
      <c r="K3813" s="3" t="s">
        <v>38</v>
      </c>
    </row>
    <row r="3814" spans="1:11" ht="42" customHeight="1">
      <c r="A3814" s="2" t="s">
        <v>9049</v>
      </c>
      <c r="B3814" s="2" t="s">
        <v>9050</v>
      </c>
      <c r="C3814" s="2" t="s">
        <v>26</v>
      </c>
      <c r="D3814" s="2" t="s">
        <v>27</v>
      </c>
      <c r="E3814" s="5">
        <v>-29726</v>
      </c>
      <c r="F3814" s="3" t="s">
        <v>70</v>
      </c>
      <c r="G3814" s="3" t="s">
        <v>606</v>
      </c>
      <c r="H3814" s="2" t="s">
        <v>36</v>
      </c>
      <c r="I3814" s="2" t="s">
        <v>9051</v>
      </c>
      <c r="J3814" s="3" t="str">
        <f>HYPERLINK("https://www.boe.es/gazeta/dias/1818/08/11/pdfs/GMD-1818-96.pdf#page=15","Abrir facsímil")</f>
        <v>Abrir facsímil</v>
      </c>
      <c r="K3814" s="3" t="s">
        <v>38</v>
      </c>
    </row>
    <row r="3815" spans="1:11" ht="42" customHeight="1">
      <c r="A3815" s="2" t="s">
        <v>9052</v>
      </c>
      <c r="B3815" s="2" t="s">
        <v>9053</v>
      </c>
      <c r="C3815" s="2" t="s">
        <v>26</v>
      </c>
      <c r="D3815" s="2" t="s">
        <v>27</v>
      </c>
      <c r="E3815" s="5">
        <v>-29726</v>
      </c>
      <c r="F3815" s="3" t="s">
        <v>70</v>
      </c>
      <c r="G3815" s="3" t="s">
        <v>59</v>
      </c>
      <c r="H3815" s="2" t="s">
        <v>36</v>
      </c>
      <c r="I3815" s="2" t="s">
        <v>9054</v>
      </c>
      <c r="J3815" s="3" t="str">
        <f>HYPERLINK("https://www.boe.es/gazeta/dias/1818/08/11/pdfs/GMD-1818-96.pdf#page=6","Abrir facsímil")</f>
        <v>Abrir facsímil</v>
      </c>
      <c r="K3815" s="3" t="s">
        <v>38</v>
      </c>
    </row>
    <row r="3816" spans="1:11" ht="42" customHeight="1">
      <c r="A3816" s="2" t="s">
        <v>9055</v>
      </c>
      <c r="B3816" s="2" t="s">
        <v>9056</v>
      </c>
      <c r="C3816" s="2" t="s">
        <v>57</v>
      </c>
      <c r="D3816" s="2" t="s">
        <v>18</v>
      </c>
      <c r="E3816" s="5">
        <v>-29801</v>
      </c>
      <c r="F3816" s="3" t="s">
        <v>288</v>
      </c>
      <c r="G3816" s="3" t="s">
        <v>49</v>
      </c>
      <c r="H3816" s="2" t="s">
        <v>36</v>
      </c>
      <c r="I3816" s="2" t="s">
        <v>9057</v>
      </c>
      <c r="J3816" s="3" t="str">
        <f>HYPERLINK("https://www.boe.es/gazeta/dias/1818/05/28/pdfs/GMD-1818-64.pdf#page=1","Abrir facsímil")</f>
        <v>Abrir facsímil</v>
      </c>
      <c r="K3816" s="3" t="s">
        <v>38</v>
      </c>
    </row>
    <row r="3817" spans="1:11" ht="42" customHeight="1">
      <c r="A3817" s="2" t="s">
        <v>9058</v>
      </c>
      <c r="B3817" s="2" t="s">
        <v>9059</v>
      </c>
      <c r="C3817" s="2" t="s">
        <v>26</v>
      </c>
      <c r="D3817" s="2" t="s">
        <v>27</v>
      </c>
      <c r="E3817" s="5">
        <v>-29845</v>
      </c>
      <c r="F3817" s="3" t="s">
        <v>105</v>
      </c>
      <c r="G3817" s="3" t="s">
        <v>833</v>
      </c>
      <c r="H3817" s="2" t="s">
        <v>36</v>
      </c>
      <c r="I3817" s="2" t="s">
        <v>9060</v>
      </c>
      <c r="J3817" s="3" t="str">
        <f>HYPERLINK("https://www.boe.es/gazeta/dias/1818/04/14/pdfs/GMD-1818-45.pdf#page=4","Abrir facsímil")</f>
        <v>Abrir facsímil</v>
      </c>
      <c r="K3817" s="3" t="s">
        <v>38</v>
      </c>
    </row>
    <row r="3818" spans="1:11" ht="42" customHeight="1">
      <c r="A3818" s="2" t="s">
        <v>9061</v>
      </c>
      <c r="B3818" s="2" t="s">
        <v>9062</v>
      </c>
      <c r="C3818" s="2" t="s">
        <v>17</v>
      </c>
      <c r="D3818" s="2" t="s">
        <v>18</v>
      </c>
      <c r="E3818" s="5">
        <v>-29708</v>
      </c>
      <c r="F3818" s="3" t="s">
        <v>413</v>
      </c>
      <c r="G3818" s="3" t="s">
        <v>20</v>
      </c>
      <c r="H3818" s="2" t="s">
        <v>36</v>
      </c>
      <c r="I3818" s="2" t="s">
        <v>9063</v>
      </c>
      <c r="J3818" s="3" t="str">
        <f>HYPERLINK("https://www.boe.es/gazeta/dias/1818/08/29/pdfs/GMD-1818-104.pdf#page=7","Abrir facsímil")</f>
        <v>Abrir facsímil</v>
      </c>
      <c r="K3818" s="3" t="s">
        <v>38</v>
      </c>
    </row>
    <row r="3819" spans="1:11" ht="42" customHeight="1">
      <c r="A3819" s="2" t="s">
        <v>9064</v>
      </c>
      <c r="B3819" s="2" t="s">
        <v>9064</v>
      </c>
      <c r="C3819" s="2" t="s">
        <v>17</v>
      </c>
      <c r="D3819" s="2" t="s">
        <v>18</v>
      </c>
      <c r="E3819" s="5">
        <v>-29880</v>
      </c>
      <c r="F3819" s="3" t="s">
        <v>359</v>
      </c>
      <c r="G3819" s="3" t="s">
        <v>106</v>
      </c>
      <c r="H3819" s="2" t="s">
        <v>36</v>
      </c>
      <c r="I3819" s="2" t="s">
        <v>9065</v>
      </c>
      <c r="J3819" s="3" t="str">
        <f>HYPERLINK("https://www.boe.es/gazeta/dias/1818/03/10/pdfs/GMD-1818-30.pdf#page=5","Abrir facsímil")</f>
        <v>Abrir facsímil</v>
      </c>
      <c r="K3819" s="3" t="s">
        <v>38</v>
      </c>
    </row>
    <row r="3820" spans="1:11" ht="42" customHeight="1">
      <c r="A3820" s="2" t="s">
        <v>9066</v>
      </c>
      <c r="B3820" s="2" t="s">
        <v>9067</v>
      </c>
      <c r="C3820" s="2" t="s">
        <v>26</v>
      </c>
      <c r="D3820" s="2" t="s">
        <v>27</v>
      </c>
      <c r="E3820" s="5">
        <v>-29925</v>
      </c>
      <c r="F3820" s="3" t="s">
        <v>447</v>
      </c>
      <c r="G3820" s="3" t="s">
        <v>59</v>
      </c>
      <c r="H3820" s="2" t="s">
        <v>36</v>
      </c>
      <c r="I3820" s="2" t="s">
        <v>9068</v>
      </c>
      <c r="J3820" s="3" t="str">
        <f>HYPERLINK("https://www.boe.es/gazeta/dias/1818/01/24/pdfs/GMD-1818-11.pdf#page=6","Abrir facsímil")</f>
        <v>Abrir facsímil</v>
      </c>
      <c r="K3820" s="3" t="s">
        <v>38</v>
      </c>
    </row>
    <row r="3821" spans="1:11" ht="42" customHeight="1">
      <c r="A3821" s="2" t="s">
        <v>9069</v>
      </c>
      <c r="B3821" s="2" t="s">
        <v>9070</v>
      </c>
      <c r="C3821" s="2" t="s">
        <v>26</v>
      </c>
      <c r="D3821" s="2" t="s">
        <v>27</v>
      </c>
      <c r="E3821" s="5">
        <v>-29897</v>
      </c>
      <c r="F3821" s="3" t="s">
        <v>318</v>
      </c>
      <c r="G3821" s="3" t="s">
        <v>29</v>
      </c>
      <c r="H3821" s="2" t="s">
        <v>36</v>
      </c>
      <c r="I3821" s="2" t="s">
        <v>9071</v>
      </c>
      <c r="J3821" s="3" t="str">
        <f>HYPERLINK("https://www.boe.es/gazeta/dias/1818/02/21/pdfs/GMD-1818-23.pdf#page=4","Abrir facsímil")</f>
        <v>Abrir facsímil</v>
      </c>
      <c r="K3821" s="3" t="s">
        <v>38</v>
      </c>
    </row>
    <row r="3822" spans="1:11" ht="42" customHeight="1">
      <c r="A3822" s="2" t="s">
        <v>9072</v>
      </c>
      <c r="B3822" s="2" t="s">
        <v>9073</v>
      </c>
      <c r="C3822" s="2" t="s">
        <v>68</v>
      </c>
      <c r="D3822" s="2" t="s">
        <v>69</v>
      </c>
      <c r="E3822" s="5">
        <v>-29936</v>
      </c>
      <c r="F3822" s="3" t="s">
        <v>398</v>
      </c>
      <c r="G3822" s="3" t="s">
        <v>20</v>
      </c>
      <c r="H3822" s="2" t="s">
        <v>21</v>
      </c>
      <c r="I3822" s="2" t="s">
        <v>9074</v>
      </c>
      <c r="J3822" s="3" t="str">
        <f>HYPERLINK("https://www.boe.es/gazeta/dias/1818/01/13/pdfs/GMD-1818-6.pdf#page=7","Abrir facsímil")</f>
        <v>Abrir facsímil</v>
      </c>
      <c r="K3822" s="3" t="s">
        <v>23</v>
      </c>
    </row>
    <row r="3823" spans="1:11" ht="42" customHeight="1">
      <c r="A3823" s="2" t="s">
        <v>9075</v>
      </c>
      <c r="B3823" s="2" t="s">
        <v>9075</v>
      </c>
      <c r="C3823" s="2" t="s">
        <v>26</v>
      </c>
      <c r="D3823" s="2" t="s">
        <v>27</v>
      </c>
      <c r="E3823" s="5">
        <v>-29589</v>
      </c>
      <c r="F3823" s="3" t="s">
        <v>210</v>
      </c>
      <c r="G3823" s="3" t="s">
        <v>59</v>
      </c>
      <c r="H3823" s="2" t="s">
        <v>36</v>
      </c>
      <c r="I3823" s="2" t="s">
        <v>9076</v>
      </c>
      <c r="J3823" s="3" t="str">
        <f>HYPERLINK("https://www.boe.es/gazeta/dias/1818/12/26/pdfs/GMD-1818-156.pdf#page=6","Abrir facsímil")</f>
        <v>Abrir facsímil</v>
      </c>
      <c r="K3823" s="3" t="s">
        <v>38</v>
      </c>
    </row>
    <row r="3824" spans="1:11" ht="42" customHeight="1">
      <c r="A3824" s="2" t="s">
        <v>9077</v>
      </c>
      <c r="B3824" s="2" t="s">
        <v>9078</v>
      </c>
      <c r="C3824" s="2" t="s">
        <v>68</v>
      </c>
      <c r="D3824" s="2" t="s">
        <v>69</v>
      </c>
      <c r="E3824" s="5">
        <v>-29880</v>
      </c>
      <c r="F3824" s="3" t="s">
        <v>359</v>
      </c>
      <c r="G3824" s="3" t="s">
        <v>29</v>
      </c>
      <c r="H3824" s="2" t="s">
        <v>36</v>
      </c>
      <c r="I3824" s="2" t="s">
        <v>9079</v>
      </c>
      <c r="J3824" s="3" t="str">
        <f>HYPERLINK("https://www.boe.es/gazeta/dias/1818/03/10/pdfs/GMD-1818-30.pdf#page=4","Abrir facsímil")</f>
        <v>Abrir facsímil</v>
      </c>
      <c r="K3824" s="3" t="s">
        <v>38</v>
      </c>
    </row>
    <row r="3825" spans="1:11" ht="42" customHeight="1">
      <c r="A3825" s="2" t="s">
        <v>9080</v>
      </c>
      <c r="B3825" s="2" t="s">
        <v>9081</v>
      </c>
      <c r="C3825" s="2" t="s">
        <v>63</v>
      </c>
      <c r="D3825" s="2" t="s">
        <v>18</v>
      </c>
      <c r="E3825" s="5">
        <v>-29589</v>
      </c>
      <c r="F3825" s="3" t="s">
        <v>210</v>
      </c>
      <c r="G3825" s="3" t="s">
        <v>211</v>
      </c>
      <c r="H3825" s="2" t="s">
        <v>36</v>
      </c>
      <c r="I3825" s="2" t="s">
        <v>9082</v>
      </c>
      <c r="J3825" s="3" t="str">
        <f>HYPERLINK("https://www.boe.es/gazeta/dias/1818/12/26/pdfs/GMD-1818-156.pdf#page=8","Abrir facsímil")</f>
        <v>Abrir facsímil</v>
      </c>
      <c r="K3825" s="3" t="s">
        <v>38</v>
      </c>
    </row>
    <row r="3826" spans="1:11" ht="42" customHeight="1">
      <c r="A3826" s="2" t="s">
        <v>9083</v>
      </c>
      <c r="B3826" s="2" t="s">
        <v>9084</v>
      </c>
      <c r="C3826" s="2" t="s">
        <v>26</v>
      </c>
      <c r="D3826" s="2" t="s">
        <v>27</v>
      </c>
      <c r="E3826" s="5">
        <v>-29890</v>
      </c>
      <c r="F3826" s="3" t="s">
        <v>393</v>
      </c>
      <c r="G3826" s="3" t="s">
        <v>1096</v>
      </c>
      <c r="H3826" s="2" t="s">
        <v>36</v>
      </c>
      <c r="I3826" s="2" t="s">
        <v>9085</v>
      </c>
      <c r="J3826" s="3" t="str">
        <f>HYPERLINK("https://www.boe.es/gazeta/dias/1818/02/28/pdfs/GMD-1818-26.pdf#page=6","Abrir facsímil")</f>
        <v>Abrir facsímil</v>
      </c>
      <c r="K3826" s="3" t="s">
        <v>38</v>
      </c>
    </row>
    <row r="3827" spans="1:11" ht="42" customHeight="1">
      <c r="A3827" s="2" t="s">
        <v>9086</v>
      </c>
      <c r="B3827" s="2" t="s">
        <v>9087</v>
      </c>
      <c r="C3827" s="2" t="s">
        <v>26</v>
      </c>
      <c r="D3827" s="2" t="s">
        <v>27</v>
      </c>
      <c r="E3827" s="5">
        <v>-29589</v>
      </c>
      <c r="F3827" s="3" t="s">
        <v>210</v>
      </c>
      <c r="G3827" s="3" t="s">
        <v>29</v>
      </c>
      <c r="H3827" s="2" t="s">
        <v>36</v>
      </c>
      <c r="I3827" s="2" t="s">
        <v>9088</v>
      </c>
      <c r="J3827" s="3" t="str">
        <f>HYPERLINK("https://www.boe.es/gazeta/dias/1818/12/26/pdfs/GMD-1818-156.pdf#page=4","Abrir facsímil")</f>
        <v>Abrir facsímil</v>
      </c>
      <c r="K3827" s="3" t="s">
        <v>38</v>
      </c>
    </row>
    <row r="3828" spans="1:11" ht="42" customHeight="1">
      <c r="A3828" s="2" t="s">
        <v>9089</v>
      </c>
      <c r="B3828" s="2" t="s">
        <v>9090</v>
      </c>
      <c r="C3828" s="2" t="s">
        <v>26</v>
      </c>
      <c r="D3828" s="2" t="s">
        <v>27</v>
      </c>
      <c r="E3828" s="5">
        <v>-29589</v>
      </c>
      <c r="F3828" s="3" t="s">
        <v>210</v>
      </c>
      <c r="G3828" s="3" t="s">
        <v>106</v>
      </c>
      <c r="H3828" s="2" t="s">
        <v>36</v>
      </c>
      <c r="I3828" s="2" t="s">
        <v>9091</v>
      </c>
      <c r="J3828" s="3" t="str">
        <f>HYPERLINK("https://www.boe.es/gazeta/dias/1818/12/26/pdfs/GMD-1818-156.pdf#page=5","Abrir facsímil")</f>
        <v>Abrir facsímil</v>
      </c>
      <c r="K3828" s="3" t="s">
        <v>38</v>
      </c>
    </row>
    <row r="3829" spans="1:11" ht="42" customHeight="1">
      <c r="A3829" s="2" t="s">
        <v>9089</v>
      </c>
      <c r="B3829" s="2" t="s">
        <v>9090</v>
      </c>
      <c r="C3829" s="2" t="s">
        <v>26</v>
      </c>
      <c r="D3829" s="2" t="s">
        <v>27</v>
      </c>
      <c r="E3829" s="5">
        <v>-29589</v>
      </c>
      <c r="F3829" s="3" t="s">
        <v>210</v>
      </c>
      <c r="G3829" s="3" t="s">
        <v>59</v>
      </c>
      <c r="H3829" s="2" t="s">
        <v>36</v>
      </c>
      <c r="I3829" s="2" t="s">
        <v>9092</v>
      </c>
      <c r="J3829" s="3" t="str">
        <f>HYPERLINK("https://www.boe.es/gazeta/dias/1818/12/26/pdfs/GMD-1818-156.pdf#page=6","Abrir facsímil")</f>
        <v>Abrir facsímil</v>
      </c>
      <c r="K3829" s="3" t="s">
        <v>38</v>
      </c>
    </row>
    <row r="3830" spans="1:11" ht="42" customHeight="1">
      <c r="A3830" s="2" t="s">
        <v>9093</v>
      </c>
      <c r="B3830" s="2" t="s">
        <v>9094</v>
      </c>
      <c r="C3830" s="2" t="s">
        <v>26</v>
      </c>
      <c r="D3830" s="2" t="s">
        <v>27</v>
      </c>
      <c r="E3830" s="5">
        <v>-29899</v>
      </c>
      <c r="F3830" s="3" t="s">
        <v>232</v>
      </c>
      <c r="G3830" s="3" t="s">
        <v>45</v>
      </c>
      <c r="H3830" s="2" t="s">
        <v>36</v>
      </c>
      <c r="I3830" s="2" t="s">
        <v>9095</v>
      </c>
      <c r="J3830" s="3" t="str">
        <f>HYPERLINK("https://www.boe.es/gazeta/dias/1818/02/19/pdfs/GMD-1818-22.pdf#page=8","Abrir facsímil")</f>
        <v>Abrir facsímil</v>
      </c>
      <c r="K3830" s="3" t="s">
        <v>38</v>
      </c>
    </row>
    <row r="3831" spans="1:11" ht="42" customHeight="1">
      <c r="A3831" s="2" t="s">
        <v>9096</v>
      </c>
      <c r="B3831" s="2" t="s">
        <v>9097</v>
      </c>
      <c r="C3831" s="2" t="s">
        <v>17</v>
      </c>
      <c r="D3831" s="2" t="s">
        <v>18</v>
      </c>
      <c r="E3831" s="5">
        <v>-29684</v>
      </c>
      <c r="F3831" s="3" t="s">
        <v>311</v>
      </c>
      <c r="G3831" s="3" t="s">
        <v>59</v>
      </c>
      <c r="H3831" s="2" t="s">
        <v>36</v>
      </c>
      <c r="I3831" s="2" t="s">
        <v>9098</v>
      </c>
      <c r="J3831" s="3" t="str">
        <f>HYPERLINK("https://www.boe.es/gazeta/dias/1818/09/22/pdfs/GMD-1818-114.pdf#page=6","Abrir facsímil")</f>
        <v>Abrir facsímil</v>
      </c>
      <c r="K3831" s="3" t="s">
        <v>38</v>
      </c>
    </row>
    <row r="3832" spans="1:11" ht="42" customHeight="1">
      <c r="A3832" s="2" t="s">
        <v>9099</v>
      </c>
      <c r="B3832" s="2" t="s">
        <v>9100</v>
      </c>
      <c r="C3832" s="2" t="s">
        <v>26</v>
      </c>
      <c r="D3832" s="2" t="s">
        <v>27</v>
      </c>
      <c r="E3832" s="5">
        <v>-29750</v>
      </c>
      <c r="F3832" s="3" t="s">
        <v>384</v>
      </c>
      <c r="G3832" s="3" t="s">
        <v>111</v>
      </c>
      <c r="H3832" s="2" t="s">
        <v>36</v>
      </c>
      <c r="I3832" s="2" t="s">
        <v>9101</v>
      </c>
      <c r="J3832" s="3" t="str">
        <f>HYPERLINK("https://www.boe.es/gazeta/dias/1818/07/18/pdfs/GMD-1818-86.pdf#page=11","Abrir facsímil")</f>
        <v>Abrir facsímil</v>
      </c>
      <c r="K3832" s="3" t="s">
        <v>38</v>
      </c>
    </row>
    <row r="3833" spans="1:11" ht="42" customHeight="1">
      <c r="A3833" s="2" t="s">
        <v>9099</v>
      </c>
      <c r="B3833" s="2" t="s">
        <v>9100</v>
      </c>
      <c r="C3833" s="2" t="s">
        <v>26</v>
      </c>
      <c r="D3833" s="2" t="s">
        <v>27</v>
      </c>
      <c r="E3833" s="5">
        <v>-29726</v>
      </c>
      <c r="F3833" s="3" t="s">
        <v>70</v>
      </c>
      <c r="G3833" s="3" t="s">
        <v>116</v>
      </c>
      <c r="H3833" s="2" t="s">
        <v>36</v>
      </c>
      <c r="I3833" s="2" t="s">
        <v>9102</v>
      </c>
      <c r="J3833" s="3" t="str">
        <f>HYPERLINK("https://www.boe.es/gazeta/dias/1818/08/11/pdfs/GMD-1818-96.pdf#page=12","Abrir facsímil")</f>
        <v>Abrir facsímil</v>
      </c>
      <c r="K3833" s="3" t="s">
        <v>38</v>
      </c>
    </row>
    <row r="3834" spans="1:11" ht="42" customHeight="1">
      <c r="A3834" s="2" t="s">
        <v>9103</v>
      </c>
      <c r="B3834" s="2" t="s">
        <v>9104</v>
      </c>
      <c r="C3834" s="2" t="s">
        <v>26</v>
      </c>
      <c r="D3834" s="2" t="s">
        <v>27</v>
      </c>
      <c r="E3834" s="5">
        <v>-29915</v>
      </c>
      <c r="F3834" s="3" t="s">
        <v>429</v>
      </c>
      <c r="G3834" s="3" t="s">
        <v>1142</v>
      </c>
      <c r="H3834" s="2" t="s">
        <v>36</v>
      </c>
      <c r="I3834" s="2" t="s">
        <v>9105</v>
      </c>
      <c r="J3834" s="3" t="str">
        <f>HYPERLINK("https://www.boe.es/gazeta/dias/1818/02/03/pdfs/GMD-1818-15.pdf#page=6","Abrir facsímil")</f>
        <v>Abrir facsímil</v>
      </c>
      <c r="K3834" s="3" t="s">
        <v>38</v>
      </c>
    </row>
    <row r="3835" spans="1:11" ht="42" customHeight="1">
      <c r="A3835" s="2" t="s">
        <v>9103</v>
      </c>
      <c r="B3835" s="2" t="s">
        <v>9104</v>
      </c>
      <c r="C3835" s="2" t="s">
        <v>26</v>
      </c>
      <c r="D3835" s="2" t="s">
        <v>27</v>
      </c>
      <c r="E3835" s="5">
        <v>-29738</v>
      </c>
      <c r="F3835" s="3" t="s">
        <v>263</v>
      </c>
      <c r="G3835" s="3" t="s">
        <v>45</v>
      </c>
      <c r="H3835" s="2" t="s">
        <v>36</v>
      </c>
      <c r="I3835" s="2" t="s">
        <v>9106</v>
      </c>
      <c r="J3835" s="3" t="str">
        <f>HYPERLINK("https://www.boe.es/gazeta/dias/1818/07/30/pdfs/GMD-1818-91.pdf#page=8","Abrir facsímil")</f>
        <v>Abrir facsímil</v>
      </c>
      <c r="K3835" s="3" t="s">
        <v>38</v>
      </c>
    </row>
    <row r="3836" spans="1:11" ht="42" customHeight="1">
      <c r="A3836" s="2" t="s">
        <v>9107</v>
      </c>
      <c r="B3836" s="2" t="s">
        <v>9108</v>
      </c>
      <c r="C3836" s="2" t="s">
        <v>63</v>
      </c>
      <c r="D3836" s="2" t="s">
        <v>18</v>
      </c>
      <c r="E3836" s="5">
        <v>-29869</v>
      </c>
      <c r="F3836" s="3" t="s">
        <v>140</v>
      </c>
      <c r="G3836" s="3" t="s">
        <v>45</v>
      </c>
      <c r="H3836" s="2" t="s">
        <v>36</v>
      </c>
      <c r="I3836" s="2" t="s">
        <v>9109</v>
      </c>
      <c r="J3836" s="3" t="str">
        <f>HYPERLINK("https://www.boe.es/gazeta/dias/1818/03/21/pdfs/GMD-1818-35.pdf#page=8","Abrir facsímil")</f>
        <v>Abrir facsímil</v>
      </c>
      <c r="K3836" s="3" t="s">
        <v>38</v>
      </c>
    </row>
    <row r="3837" spans="1:11" ht="42" customHeight="1">
      <c r="A3837" s="2" t="s">
        <v>9110</v>
      </c>
      <c r="B3837" s="2" t="s">
        <v>9111</v>
      </c>
      <c r="C3837" s="2" t="s">
        <v>68</v>
      </c>
      <c r="D3837" s="2" t="s">
        <v>69</v>
      </c>
      <c r="E3837" s="5">
        <v>-29918</v>
      </c>
      <c r="F3837" s="3" t="s">
        <v>89</v>
      </c>
      <c r="G3837" s="3" t="s">
        <v>111</v>
      </c>
      <c r="H3837" s="2" t="s">
        <v>36</v>
      </c>
      <c r="I3837" s="2" t="s">
        <v>9112</v>
      </c>
      <c r="J3837" s="3" t="str">
        <f>HYPERLINK("https://www.boe.es/gazeta/dias/1818/01/31/pdfs/GMD-1818-14.pdf#page=11","Abrir facsímil")</f>
        <v>Abrir facsímil</v>
      </c>
      <c r="K3837" s="3" t="s">
        <v>38</v>
      </c>
    </row>
    <row r="3838" spans="1:11" ht="42" customHeight="1">
      <c r="A3838" s="2" t="s">
        <v>9113</v>
      </c>
      <c r="B3838" s="2" t="s">
        <v>9113</v>
      </c>
      <c r="C3838" s="2" t="s">
        <v>68</v>
      </c>
      <c r="D3838" s="2" t="s">
        <v>69</v>
      </c>
      <c r="E3838" s="5">
        <v>-29705</v>
      </c>
      <c r="F3838" s="3" t="s">
        <v>680</v>
      </c>
      <c r="G3838" s="3" t="s">
        <v>49</v>
      </c>
      <c r="H3838" s="2" t="s">
        <v>36</v>
      </c>
      <c r="I3838" s="2" t="s">
        <v>9114</v>
      </c>
      <c r="J3838" s="3" t="str">
        <f>HYPERLINK("https://www.boe.es/gazeta/dias/1818/09/01/pdfs/GMD-1818-105.pdf#page=1","Abrir facsímil")</f>
        <v>Abrir facsímil</v>
      </c>
      <c r="K3838" s="3" t="s">
        <v>38</v>
      </c>
    </row>
    <row r="3839" spans="1:11" ht="42" customHeight="1">
      <c r="A3839" s="2" t="s">
        <v>9115</v>
      </c>
      <c r="B3839" s="2" t="s">
        <v>9115</v>
      </c>
      <c r="C3839" s="2" t="s">
        <v>26</v>
      </c>
      <c r="D3839" s="2" t="s">
        <v>27</v>
      </c>
      <c r="E3839" s="5">
        <v>-29782</v>
      </c>
      <c r="F3839" s="3" t="s">
        <v>226</v>
      </c>
      <c r="G3839" s="3" t="s">
        <v>49</v>
      </c>
      <c r="H3839" s="2" t="s">
        <v>36</v>
      </c>
      <c r="I3839" s="2" t="s">
        <v>9116</v>
      </c>
      <c r="J3839" s="3" t="str">
        <f>HYPERLINK("https://www.boe.es/gazeta/dias/1818/06/16/pdfs/GMD-1818-72.pdf#page=1","Abrir facsímil")</f>
        <v>Abrir facsímil</v>
      </c>
      <c r="K3839" s="3" t="s">
        <v>38</v>
      </c>
    </row>
    <row r="3840" spans="1:11" ht="42" customHeight="1">
      <c r="A3840" s="2" t="s">
        <v>9117</v>
      </c>
      <c r="B3840" s="2" t="s">
        <v>9118</v>
      </c>
      <c r="C3840" s="2" t="s">
        <v>26</v>
      </c>
      <c r="D3840" s="2" t="s">
        <v>27</v>
      </c>
      <c r="E3840" s="5">
        <v>-29705</v>
      </c>
      <c r="F3840" s="3" t="s">
        <v>680</v>
      </c>
      <c r="G3840" s="3" t="s">
        <v>106</v>
      </c>
      <c r="H3840" s="2" t="s">
        <v>36</v>
      </c>
      <c r="I3840" s="2" t="s">
        <v>9119</v>
      </c>
      <c r="J3840" s="3" t="str">
        <f>HYPERLINK("https://www.boe.es/gazeta/dias/1818/09/01/pdfs/GMD-1818-105.pdf#page=5","Abrir facsímil")</f>
        <v>Abrir facsímil</v>
      </c>
      <c r="K3840" s="3" t="s">
        <v>38</v>
      </c>
    </row>
    <row r="3841" spans="1:11" ht="42" customHeight="1">
      <c r="A3841" s="2" t="s">
        <v>9120</v>
      </c>
      <c r="B3841" s="2" t="s">
        <v>9121</v>
      </c>
      <c r="C3841" s="2" t="s">
        <v>26</v>
      </c>
      <c r="D3841" s="2" t="s">
        <v>27</v>
      </c>
      <c r="E3841" s="5">
        <v>-29862</v>
      </c>
      <c r="F3841" s="3" t="s">
        <v>925</v>
      </c>
      <c r="G3841" s="3" t="s">
        <v>59</v>
      </c>
      <c r="H3841" s="2" t="s">
        <v>36</v>
      </c>
      <c r="I3841" s="2" t="s">
        <v>9122</v>
      </c>
      <c r="J3841" s="3" t="str">
        <f>HYPERLINK("https://www.boe.es/gazeta/dias/1818/03/28/pdfs/GMD-1818-38.pdf#page=6","Abrir facsímil")</f>
        <v>Abrir facsímil</v>
      </c>
      <c r="K3841" s="3" t="s">
        <v>38</v>
      </c>
    </row>
    <row r="3842" spans="1:11" ht="42" customHeight="1">
      <c r="A3842" s="2" t="s">
        <v>9123</v>
      </c>
      <c r="B3842" s="2" t="s">
        <v>9123</v>
      </c>
      <c r="C3842" s="2" t="s">
        <v>68</v>
      </c>
      <c r="D3842" s="2" t="s">
        <v>69</v>
      </c>
      <c r="E3842" s="5">
        <v>-29764</v>
      </c>
      <c r="F3842" s="3" t="s">
        <v>464</v>
      </c>
      <c r="G3842" s="3" t="s">
        <v>85</v>
      </c>
      <c r="H3842" s="2" t="s">
        <v>36</v>
      </c>
      <c r="I3842" s="2" t="s">
        <v>9124</v>
      </c>
      <c r="J3842" s="3" t="str">
        <f>HYPERLINK("https://www.boe.es/gazeta/dias/1818/07/04/pdfs/GMD-1818-80.pdf#page=3","Abrir facsímil")</f>
        <v>Abrir facsímil</v>
      </c>
      <c r="K3842" s="3" t="s">
        <v>38</v>
      </c>
    </row>
    <row r="3843" spans="1:11" ht="42" customHeight="1">
      <c r="A3843" s="2" t="s">
        <v>9125</v>
      </c>
      <c r="B3843" s="2" t="s">
        <v>9126</v>
      </c>
      <c r="C3843" s="2" t="s">
        <v>17</v>
      </c>
      <c r="D3843" s="2" t="s">
        <v>18</v>
      </c>
      <c r="E3843" s="5">
        <v>-29708</v>
      </c>
      <c r="F3843" s="3" t="s">
        <v>413</v>
      </c>
      <c r="G3843" s="3" t="s">
        <v>20</v>
      </c>
      <c r="H3843" s="2" t="s">
        <v>36</v>
      </c>
      <c r="I3843" s="2" t="s">
        <v>9127</v>
      </c>
      <c r="J3843" s="3" t="str">
        <f>HYPERLINK("https://www.boe.es/gazeta/dias/1818/08/29/pdfs/GMD-1818-104.pdf#page=7","Abrir facsímil")</f>
        <v>Abrir facsímil</v>
      </c>
      <c r="K3843" s="3" t="s">
        <v>38</v>
      </c>
    </row>
    <row r="3844" spans="1:11" ht="42" customHeight="1">
      <c r="A3844" s="2" t="s">
        <v>9128</v>
      </c>
      <c r="B3844" s="2" t="s">
        <v>9129</v>
      </c>
      <c r="C3844" s="2" t="s">
        <v>17</v>
      </c>
      <c r="D3844" s="2" t="s">
        <v>18</v>
      </c>
      <c r="E3844" s="5">
        <v>-29787</v>
      </c>
      <c r="F3844" s="3" t="s">
        <v>343</v>
      </c>
      <c r="G3844" s="3" t="s">
        <v>20</v>
      </c>
      <c r="H3844" s="2" t="s">
        <v>36</v>
      </c>
      <c r="I3844" s="2" t="s">
        <v>9130</v>
      </c>
      <c r="J3844" s="3" t="str">
        <f>HYPERLINK("https://www.boe.es/gazeta/dias/1818/06/11/pdfs/GMD-1818-70.pdf#page=7","Abrir facsímil")</f>
        <v>Abrir facsímil</v>
      </c>
      <c r="K3844" s="3" t="s">
        <v>38</v>
      </c>
    </row>
    <row r="3845" spans="1:11" ht="42" customHeight="1">
      <c r="A3845" s="2" t="s">
        <v>9131</v>
      </c>
      <c r="B3845" s="2" t="s">
        <v>9132</v>
      </c>
      <c r="C3845" s="2" t="s">
        <v>68</v>
      </c>
      <c r="D3845" s="2" t="s">
        <v>69</v>
      </c>
      <c r="E3845" s="5">
        <v>-29792</v>
      </c>
      <c r="F3845" s="3" t="s">
        <v>948</v>
      </c>
      <c r="G3845" s="3" t="s">
        <v>45</v>
      </c>
      <c r="H3845" s="2" t="s">
        <v>36</v>
      </c>
      <c r="I3845" s="2" t="s">
        <v>9133</v>
      </c>
      <c r="J3845" s="3" t="str">
        <f>HYPERLINK("https://www.boe.es/gazeta/dias/1818/06/06/pdfs/GMD-1818-68.pdf#page=8","Abrir facsímil")</f>
        <v>Abrir facsímil</v>
      </c>
      <c r="K3845" s="3" t="s">
        <v>38</v>
      </c>
    </row>
    <row r="3846" spans="1:11" ht="42" customHeight="1">
      <c r="A3846" s="2" t="s">
        <v>9134</v>
      </c>
      <c r="B3846" s="2" t="s">
        <v>9135</v>
      </c>
      <c r="C3846" s="2" t="s">
        <v>33</v>
      </c>
      <c r="D3846" s="2" t="s">
        <v>18</v>
      </c>
      <c r="E3846" s="5">
        <v>-29906</v>
      </c>
      <c r="F3846" s="3" t="s">
        <v>28</v>
      </c>
      <c r="G3846" s="3" t="s">
        <v>106</v>
      </c>
      <c r="H3846" s="2" t="s">
        <v>21</v>
      </c>
      <c r="I3846" s="2" t="s">
        <v>9136</v>
      </c>
      <c r="J3846" s="3" t="str">
        <f>HYPERLINK("https://www.boe.es/gazeta/dias/1818/02/12/pdfs/GMD-1818-19.pdf#page=5","Abrir facsímil")</f>
        <v>Abrir facsímil</v>
      </c>
      <c r="K3846" s="3" t="s">
        <v>23</v>
      </c>
    </row>
    <row r="3847" spans="1:11" ht="42" customHeight="1">
      <c r="A3847" s="2" t="s">
        <v>9137</v>
      </c>
      <c r="B3847" s="2" t="s">
        <v>9138</v>
      </c>
      <c r="C3847" s="2" t="s">
        <v>26</v>
      </c>
      <c r="D3847" s="2" t="s">
        <v>27</v>
      </c>
      <c r="E3847" s="5">
        <v>-29831</v>
      </c>
      <c r="F3847" s="3" t="s">
        <v>567</v>
      </c>
      <c r="G3847" s="3" t="s">
        <v>45</v>
      </c>
      <c r="H3847" s="2" t="s">
        <v>36</v>
      </c>
      <c r="I3847" s="2" t="s">
        <v>9139</v>
      </c>
      <c r="J3847" s="3" t="str">
        <f>HYPERLINK("https://www.boe.es/gazeta/dias/1818/04/28/pdfs/GMD-1818-51.pdf#page=8","Abrir facsímil")</f>
        <v>Abrir facsímil</v>
      </c>
      <c r="K3847" s="3" t="s">
        <v>38</v>
      </c>
    </row>
    <row r="3848" spans="1:11" ht="42" customHeight="1">
      <c r="A3848" s="2" t="s">
        <v>9140</v>
      </c>
      <c r="B3848" s="2" t="s">
        <v>9141</v>
      </c>
      <c r="C3848" s="2" t="s">
        <v>26</v>
      </c>
      <c r="D3848" s="2" t="s">
        <v>27</v>
      </c>
      <c r="E3848" s="5">
        <v>-29897</v>
      </c>
      <c r="F3848" s="3" t="s">
        <v>318</v>
      </c>
      <c r="G3848" s="3" t="s">
        <v>106</v>
      </c>
      <c r="H3848" s="2" t="s">
        <v>36</v>
      </c>
      <c r="I3848" s="2" t="s">
        <v>9142</v>
      </c>
      <c r="J3848" s="3" t="str">
        <f>HYPERLINK("https://www.boe.es/gazeta/dias/1818/02/21/pdfs/GMD-1818-23.pdf#page=5","Abrir facsímil")</f>
        <v>Abrir facsímil</v>
      </c>
      <c r="K3848" s="3" t="s">
        <v>38</v>
      </c>
    </row>
    <row r="3849" spans="1:11" ht="42" customHeight="1">
      <c r="A3849" s="2" t="s">
        <v>9140</v>
      </c>
      <c r="B3849" s="2" t="s">
        <v>9141</v>
      </c>
      <c r="C3849" s="2" t="s">
        <v>26</v>
      </c>
      <c r="D3849" s="2" t="s">
        <v>27</v>
      </c>
      <c r="E3849" s="5">
        <v>-29887</v>
      </c>
      <c r="F3849" s="3" t="s">
        <v>613</v>
      </c>
      <c r="G3849" s="3" t="s">
        <v>59</v>
      </c>
      <c r="H3849" s="2" t="s">
        <v>36</v>
      </c>
      <c r="I3849" s="2" t="s">
        <v>9143</v>
      </c>
      <c r="J3849" s="3" t="str">
        <f>HYPERLINK("https://www.boe.es/gazeta/dias/1818/03/03/pdfs/GMD-1818-27.pdf#page=6","Abrir facsímil")</f>
        <v>Abrir facsímil</v>
      </c>
      <c r="K3849" s="3" t="s">
        <v>38</v>
      </c>
    </row>
    <row r="3850" spans="1:11" ht="42" customHeight="1">
      <c r="A3850" s="2" t="s">
        <v>9144</v>
      </c>
      <c r="B3850" s="2" t="s">
        <v>9145</v>
      </c>
      <c r="C3850" s="2" t="s">
        <v>17</v>
      </c>
      <c r="D3850" s="2" t="s">
        <v>18</v>
      </c>
      <c r="E3850" s="5">
        <v>-29815</v>
      </c>
      <c r="F3850" s="3" t="s">
        <v>2169</v>
      </c>
      <c r="G3850" s="3" t="s">
        <v>45</v>
      </c>
      <c r="H3850" s="2" t="s">
        <v>36</v>
      </c>
      <c r="I3850" s="2" t="s">
        <v>9146</v>
      </c>
      <c r="J3850" s="3" t="str">
        <f>HYPERLINK("https://www.boe.es/gazeta/dias/1818/05/14/pdfs/GMD-1818-58.pdf#page=8","Abrir facsímil")</f>
        <v>Abrir facsímil</v>
      </c>
      <c r="K3850" s="3" t="s">
        <v>38</v>
      </c>
    </row>
    <row r="3851" spans="1:11" ht="42" customHeight="1">
      <c r="A3851" s="2" t="s">
        <v>9147</v>
      </c>
      <c r="B3851" s="2" t="s">
        <v>9148</v>
      </c>
      <c r="C3851" s="2" t="s">
        <v>26</v>
      </c>
      <c r="D3851" s="2" t="s">
        <v>27</v>
      </c>
      <c r="E3851" s="5">
        <v>-29743</v>
      </c>
      <c r="F3851" s="3" t="s">
        <v>734</v>
      </c>
      <c r="G3851" s="3" t="s">
        <v>106</v>
      </c>
      <c r="H3851" s="2" t="s">
        <v>36</v>
      </c>
      <c r="I3851" s="2" t="s">
        <v>9149</v>
      </c>
      <c r="J3851" s="3" t="str">
        <f>HYPERLINK("https://www.boe.es/gazeta/dias/1818/07/25/pdfs/GMD-1818-89.pdf#page=5","Abrir facsímil")</f>
        <v>Abrir facsímil</v>
      </c>
      <c r="K3851" s="3" t="s">
        <v>38</v>
      </c>
    </row>
    <row r="3852" spans="1:11" ht="42" customHeight="1">
      <c r="A3852" s="2" t="s">
        <v>9150</v>
      </c>
      <c r="B3852" s="2" t="s">
        <v>9151</v>
      </c>
      <c r="C3852" s="2" t="s">
        <v>26</v>
      </c>
      <c r="D3852" s="2" t="s">
        <v>27</v>
      </c>
      <c r="E3852" s="5">
        <v>-29920</v>
      </c>
      <c r="F3852" s="3" t="s">
        <v>201</v>
      </c>
      <c r="G3852" s="3" t="s">
        <v>111</v>
      </c>
      <c r="H3852" s="2" t="s">
        <v>36</v>
      </c>
      <c r="I3852" s="2" t="s">
        <v>9152</v>
      </c>
      <c r="J3852" s="3" t="str">
        <f>HYPERLINK("https://www.boe.es/gazeta/dias/1818/01/29/pdfs/GMD-1818-13.pdf#page=11","Abrir facsímil")</f>
        <v>Abrir facsímil</v>
      </c>
      <c r="K3852" s="3" t="s">
        <v>38</v>
      </c>
    </row>
    <row r="3853" spans="1:11" ht="42" customHeight="1">
      <c r="A3853" s="2" t="s">
        <v>9153</v>
      </c>
      <c r="B3853" s="2" t="s">
        <v>9154</v>
      </c>
      <c r="C3853" s="2" t="s">
        <v>26</v>
      </c>
      <c r="D3853" s="2" t="s">
        <v>27</v>
      </c>
      <c r="E3853" s="5">
        <v>-29946</v>
      </c>
      <c r="F3853" s="3" t="s">
        <v>724</v>
      </c>
      <c r="G3853" s="3" t="s">
        <v>59</v>
      </c>
      <c r="H3853" s="2" t="s">
        <v>36</v>
      </c>
      <c r="I3853" s="2" t="s">
        <v>9155</v>
      </c>
      <c r="J3853" s="3" t="str">
        <f>HYPERLINK("https://www.boe.es/gazeta/dias/1818/01/03/pdfs/GMD-1818-2.pdf#page=6","Abrir facsímil")</f>
        <v>Abrir facsímil</v>
      </c>
      <c r="K3853" s="3" t="s">
        <v>38</v>
      </c>
    </row>
    <row r="3854" spans="1:11" ht="42" customHeight="1">
      <c r="A3854" s="2" t="s">
        <v>9153</v>
      </c>
      <c r="B3854" s="2" t="s">
        <v>9154</v>
      </c>
      <c r="C3854" s="2" t="s">
        <v>26</v>
      </c>
      <c r="D3854" s="2" t="s">
        <v>27</v>
      </c>
      <c r="E3854" s="5">
        <v>-29915</v>
      </c>
      <c r="F3854" s="3" t="s">
        <v>429</v>
      </c>
      <c r="G3854" s="3" t="s">
        <v>20</v>
      </c>
      <c r="H3854" s="2" t="s">
        <v>36</v>
      </c>
      <c r="I3854" s="2" t="s">
        <v>9156</v>
      </c>
      <c r="J3854" s="3" t="str">
        <f>HYPERLINK("https://www.boe.es/gazeta/dias/1818/02/03/pdfs/GMD-1818-15.pdf#page=7","Abrir facsímil")</f>
        <v>Abrir facsímil</v>
      </c>
      <c r="K3854" s="3" t="s">
        <v>38</v>
      </c>
    </row>
    <row r="3855" spans="1:11" ht="42" customHeight="1">
      <c r="A3855" s="2" t="s">
        <v>9157</v>
      </c>
      <c r="B3855" s="2" t="s">
        <v>9158</v>
      </c>
      <c r="C3855" s="2" t="s">
        <v>17</v>
      </c>
      <c r="D3855" s="2" t="s">
        <v>18</v>
      </c>
      <c r="E3855" s="5">
        <v>-29680</v>
      </c>
      <c r="F3855" s="3" t="s">
        <v>865</v>
      </c>
      <c r="G3855" s="3" t="s">
        <v>20</v>
      </c>
      <c r="H3855" s="2" t="s">
        <v>36</v>
      </c>
      <c r="I3855" s="2" t="s">
        <v>9159</v>
      </c>
      <c r="J3855" s="3" t="str">
        <f>HYPERLINK("https://www.boe.es/gazeta/dias/1818/09/26/pdfs/GMD-1818-116.pdf#page=7","Abrir facsímil")</f>
        <v>Abrir facsímil</v>
      </c>
      <c r="K3855" s="3" t="s">
        <v>38</v>
      </c>
    </row>
    <row r="3856" spans="1:11" ht="42" customHeight="1">
      <c r="A3856" s="2" t="s">
        <v>9160</v>
      </c>
      <c r="B3856" s="2" t="s">
        <v>9161</v>
      </c>
      <c r="C3856" s="2" t="s">
        <v>17</v>
      </c>
      <c r="D3856" s="2" t="s">
        <v>18</v>
      </c>
      <c r="E3856" s="5">
        <v>-29708</v>
      </c>
      <c r="F3856" s="3" t="s">
        <v>413</v>
      </c>
      <c r="G3856" s="3" t="s">
        <v>20</v>
      </c>
      <c r="H3856" s="2" t="s">
        <v>36</v>
      </c>
      <c r="I3856" s="2" t="s">
        <v>9162</v>
      </c>
      <c r="J3856" s="3" t="str">
        <f>HYPERLINK("https://www.boe.es/gazeta/dias/1818/08/29/pdfs/GMD-1818-104.pdf#page=7","Abrir facsímil")</f>
        <v>Abrir facsímil</v>
      </c>
      <c r="K3856" s="3" t="s">
        <v>38</v>
      </c>
    </row>
    <row r="3857" spans="1:11" ht="42" customHeight="1">
      <c r="A3857" s="2" t="s">
        <v>9163</v>
      </c>
      <c r="B3857" s="2" t="s">
        <v>9164</v>
      </c>
      <c r="C3857" s="2" t="s">
        <v>97</v>
      </c>
      <c r="D3857" s="2" t="s">
        <v>18</v>
      </c>
      <c r="E3857" s="5">
        <v>-29939</v>
      </c>
      <c r="F3857" s="3" t="s">
        <v>110</v>
      </c>
      <c r="G3857" s="3" t="s">
        <v>116</v>
      </c>
      <c r="H3857" s="2" t="s">
        <v>36</v>
      </c>
      <c r="I3857" s="2" t="s">
        <v>9165</v>
      </c>
      <c r="J3857" s="3" t="str">
        <f>HYPERLINK("https://www.boe.es/gazeta/dias/1818/01/10/pdfs/GMD-1818-5.pdf#page=12","Abrir facsímil")</f>
        <v>Abrir facsímil</v>
      </c>
      <c r="K3857" s="3" t="s">
        <v>38</v>
      </c>
    </row>
    <row r="3858" spans="1:11" ht="42" customHeight="1">
      <c r="A3858" s="2" t="s">
        <v>9163</v>
      </c>
      <c r="B3858" s="2" t="s">
        <v>9164</v>
      </c>
      <c r="C3858" s="2" t="s">
        <v>68</v>
      </c>
      <c r="D3858" s="2" t="s">
        <v>69</v>
      </c>
      <c r="E3858" s="5">
        <v>-29932</v>
      </c>
      <c r="F3858" s="3" t="s">
        <v>34</v>
      </c>
      <c r="G3858" s="3" t="s">
        <v>35</v>
      </c>
      <c r="H3858" s="2" t="s">
        <v>36</v>
      </c>
      <c r="I3858" s="2" t="s">
        <v>9166</v>
      </c>
      <c r="J3858" s="3" t="str">
        <f>HYPERLINK("https://www.boe.es/gazeta/dias/1818/01/17/pdfs/GMD-1818-8.pdf#page=8","Abrir facsímil")</f>
        <v>Abrir facsímil</v>
      </c>
      <c r="K3858" s="3" t="s">
        <v>38</v>
      </c>
    </row>
    <row r="3859" spans="1:11" ht="42" customHeight="1">
      <c r="A3859" s="2" t="s">
        <v>9163</v>
      </c>
      <c r="B3859" s="2" t="s">
        <v>9164</v>
      </c>
      <c r="C3859" s="2" t="s">
        <v>68</v>
      </c>
      <c r="D3859" s="2" t="s">
        <v>69</v>
      </c>
      <c r="E3859" s="5">
        <v>-29913</v>
      </c>
      <c r="F3859" s="3" t="s">
        <v>449</v>
      </c>
      <c r="G3859" s="3" t="s">
        <v>45</v>
      </c>
      <c r="H3859" s="2" t="s">
        <v>36</v>
      </c>
      <c r="I3859" s="2" t="s">
        <v>9167</v>
      </c>
      <c r="J3859" s="3" t="str">
        <f>HYPERLINK("https://www.boe.es/gazeta/dias/1818/02/05/pdfs/GMD-1818-16.pdf#page=8","Abrir facsímil")</f>
        <v>Abrir facsímil</v>
      </c>
      <c r="K3859" s="3" t="s">
        <v>38</v>
      </c>
    </row>
    <row r="3860" spans="1:11" ht="42" customHeight="1">
      <c r="A3860" s="2" t="s">
        <v>9163</v>
      </c>
      <c r="B3860" s="2" t="s">
        <v>9164</v>
      </c>
      <c r="C3860" s="2" t="s">
        <v>57</v>
      </c>
      <c r="D3860" s="2" t="s">
        <v>18</v>
      </c>
      <c r="E3860" s="5">
        <v>-29883</v>
      </c>
      <c r="F3860" s="3" t="s">
        <v>823</v>
      </c>
      <c r="G3860" s="3" t="s">
        <v>45</v>
      </c>
      <c r="H3860" s="2" t="s">
        <v>36</v>
      </c>
      <c r="I3860" s="2" t="s">
        <v>9168</v>
      </c>
      <c r="J3860" s="3" t="str">
        <f>HYPERLINK("https://www.boe.es/gazeta/dias/1818/03/07/pdfs/GMD-1818-29.pdf#page=8","Abrir facsímil")</f>
        <v>Abrir facsímil</v>
      </c>
      <c r="K3860" s="3" t="s">
        <v>38</v>
      </c>
    </row>
    <row r="3861" spans="1:11" ht="42" customHeight="1">
      <c r="A3861" s="2" t="s">
        <v>9163</v>
      </c>
      <c r="B3861" s="2" t="s">
        <v>9164</v>
      </c>
      <c r="C3861" s="2" t="s">
        <v>68</v>
      </c>
      <c r="D3861" s="2" t="s">
        <v>69</v>
      </c>
      <c r="E3861" s="5">
        <v>-29843</v>
      </c>
      <c r="F3861" s="3" t="s">
        <v>182</v>
      </c>
      <c r="G3861" s="3" t="s">
        <v>45</v>
      </c>
      <c r="H3861" s="2" t="s">
        <v>36</v>
      </c>
      <c r="I3861" s="2" t="s">
        <v>9169</v>
      </c>
      <c r="J3861" s="3" t="str">
        <f>HYPERLINK("https://www.boe.es/gazeta/dias/1818/04/16/pdfs/GMD-1818-46.pdf#page=8","Abrir facsímil")</f>
        <v>Abrir facsímil</v>
      </c>
      <c r="K3861" s="3" t="s">
        <v>38</v>
      </c>
    </row>
    <row r="3862" spans="1:11" ht="42" customHeight="1">
      <c r="A3862" s="2" t="s">
        <v>9163</v>
      </c>
      <c r="B3862" s="2" t="s">
        <v>9164</v>
      </c>
      <c r="C3862" s="2" t="s">
        <v>68</v>
      </c>
      <c r="D3862" s="2" t="s">
        <v>69</v>
      </c>
      <c r="E3862" s="5">
        <v>-29822</v>
      </c>
      <c r="F3862" s="3" t="s">
        <v>373</v>
      </c>
      <c r="G3862" s="3" t="s">
        <v>45</v>
      </c>
      <c r="H3862" s="2" t="s">
        <v>36</v>
      </c>
      <c r="I3862" s="2" t="s">
        <v>9170</v>
      </c>
      <c r="J3862" s="3" t="str">
        <f>HYPERLINK("https://www.boe.es/gazeta/dias/1818/05/07/pdfs/GMD-1818-55.pdf#page=8","Abrir facsímil")</f>
        <v>Abrir facsímil</v>
      </c>
      <c r="K3862" s="3" t="s">
        <v>38</v>
      </c>
    </row>
    <row r="3863" spans="1:11" ht="42" customHeight="1">
      <c r="A3863" s="2" t="s">
        <v>9163</v>
      </c>
      <c r="B3863" s="2" t="s">
        <v>9164</v>
      </c>
      <c r="C3863" s="2" t="s">
        <v>68</v>
      </c>
      <c r="D3863" s="2" t="s">
        <v>69</v>
      </c>
      <c r="E3863" s="5">
        <v>-29808</v>
      </c>
      <c r="F3863" s="3" t="s">
        <v>80</v>
      </c>
      <c r="G3863" s="3" t="s">
        <v>2556</v>
      </c>
      <c r="H3863" s="2" t="s">
        <v>36</v>
      </c>
      <c r="I3863" s="2" t="s">
        <v>9171</v>
      </c>
      <c r="J3863" s="3" t="str">
        <f>HYPERLINK("https://www.boe.es/gazeta/dias/1818/05/21/pdfs/GMD-1818-61.pdf#page=8","Abrir facsímil")</f>
        <v>Abrir facsímil</v>
      </c>
      <c r="K3863" s="3" t="s">
        <v>38</v>
      </c>
    </row>
    <row r="3864" spans="1:11" ht="42" customHeight="1">
      <c r="A3864" s="2" t="s">
        <v>9163</v>
      </c>
      <c r="B3864" s="2" t="s">
        <v>9164</v>
      </c>
      <c r="C3864" s="2" t="s">
        <v>68</v>
      </c>
      <c r="D3864" s="2" t="s">
        <v>69</v>
      </c>
      <c r="E3864" s="5">
        <v>-29801</v>
      </c>
      <c r="F3864" s="3" t="s">
        <v>288</v>
      </c>
      <c r="G3864" s="3" t="s">
        <v>45</v>
      </c>
      <c r="H3864" s="2" t="s">
        <v>36</v>
      </c>
      <c r="I3864" s="2" t="s">
        <v>9172</v>
      </c>
      <c r="J3864" s="3" t="str">
        <f>HYPERLINK("https://www.boe.es/gazeta/dias/1818/05/28/pdfs/GMD-1818-64.pdf#page=8","Abrir facsímil")</f>
        <v>Abrir facsímil</v>
      </c>
      <c r="K3864" s="3" t="s">
        <v>38</v>
      </c>
    </row>
    <row r="3865" spans="1:11" ht="42" customHeight="1">
      <c r="A3865" s="2" t="s">
        <v>9163</v>
      </c>
      <c r="B3865" s="2" t="s">
        <v>9164</v>
      </c>
      <c r="C3865" s="2" t="s">
        <v>68</v>
      </c>
      <c r="D3865" s="2" t="s">
        <v>69</v>
      </c>
      <c r="E3865" s="5">
        <v>-29717</v>
      </c>
      <c r="F3865" s="3" t="s">
        <v>1644</v>
      </c>
      <c r="G3865" s="3" t="s">
        <v>45</v>
      </c>
      <c r="H3865" s="2" t="s">
        <v>36</v>
      </c>
      <c r="I3865" s="2" t="s">
        <v>9173</v>
      </c>
      <c r="J3865" s="3" t="str">
        <f>HYPERLINK("https://www.boe.es/gazeta/dias/1818/08/20/pdfs/GMD-1818-100.pdf#page=8","Abrir facsímil")</f>
        <v>Abrir facsímil</v>
      </c>
      <c r="K3865" s="3" t="s">
        <v>38</v>
      </c>
    </row>
    <row r="3866" spans="1:11" ht="42" customHeight="1">
      <c r="A3866" s="2" t="s">
        <v>9163</v>
      </c>
      <c r="B3866" s="2" t="s">
        <v>9164</v>
      </c>
      <c r="C3866" s="2" t="s">
        <v>68</v>
      </c>
      <c r="D3866" s="2" t="s">
        <v>69</v>
      </c>
      <c r="E3866" s="5">
        <v>-29715</v>
      </c>
      <c r="F3866" s="3" t="s">
        <v>208</v>
      </c>
      <c r="G3866" s="3" t="s">
        <v>45</v>
      </c>
      <c r="H3866" s="2" t="s">
        <v>36</v>
      </c>
      <c r="I3866" s="2" t="s">
        <v>9174</v>
      </c>
      <c r="J3866" s="3" t="str">
        <f>HYPERLINK("https://www.boe.es/gazeta/dias/1818/08/22/pdfs/GMD-1818-101.pdf#page=8","Abrir facsímil")</f>
        <v>Abrir facsímil</v>
      </c>
      <c r="K3866" s="3" t="s">
        <v>38</v>
      </c>
    </row>
    <row r="3867" spans="1:11" ht="42" customHeight="1">
      <c r="A3867" s="2" t="s">
        <v>9163</v>
      </c>
      <c r="B3867" s="2" t="s">
        <v>9164</v>
      </c>
      <c r="C3867" s="2" t="s">
        <v>17</v>
      </c>
      <c r="D3867" s="2" t="s">
        <v>18</v>
      </c>
      <c r="E3867" s="5">
        <v>-29642</v>
      </c>
      <c r="F3867" s="3" t="s">
        <v>248</v>
      </c>
      <c r="G3867" s="3" t="s">
        <v>249</v>
      </c>
      <c r="H3867" s="2" t="s">
        <v>36</v>
      </c>
      <c r="I3867" s="2" t="s">
        <v>9175</v>
      </c>
      <c r="J3867" s="3" t="str">
        <f>HYPERLINK("https://www.boe.es/gazeta/dias/1818/11/03/pdfs/GMD-1818-133.pdf#page=8","Abrir facsímil")</f>
        <v>Abrir facsímil</v>
      </c>
      <c r="K3867" s="3" t="s">
        <v>38</v>
      </c>
    </row>
    <row r="3868" spans="1:11" ht="42" customHeight="1">
      <c r="A3868" s="2" t="s">
        <v>9163</v>
      </c>
      <c r="B3868" s="2" t="s">
        <v>9164</v>
      </c>
      <c r="C3868" s="2" t="s">
        <v>68</v>
      </c>
      <c r="D3868" s="2" t="s">
        <v>69</v>
      </c>
      <c r="E3868" s="5">
        <v>-29607</v>
      </c>
      <c r="F3868" s="3" t="s">
        <v>704</v>
      </c>
      <c r="G3868" s="3" t="s">
        <v>2289</v>
      </c>
      <c r="H3868" s="2" t="s">
        <v>36</v>
      </c>
      <c r="I3868" s="2" t="s">
        <v>9176</v>
      </c>
      <c r="J3868" s="3" t="str">
        <f>HYPERLINK("https://www.boe.es/gazeta/dias/1818/12/08/pdfs/GMD-1818-148.pdf#page=8","Abrir facsímil")</f>
        <v>Abrir facsímil</v>
      </c>
      <c r="K3868" s="3" t="s">
        <v>38</v>
      </c>
    </row>
    <row r="3869" spans="1:11" ht="42" customHeight="1">
      <c r="A3869" s="2" t="s">
        <v>9177</v>
      </c>
      <c r="B3869" s="2" t="s">
        <v>9178</v>
      </c>
      <c r="C3869" s="2" t="s">
        <v>17</v>
      </c>
      <c r="D3869" s="2" t="s">
        <v>18</v>
      </c>
      <c r="E3869" s="5">
        <v>-29687</v>
      </c>
      <c r="F3869" s="3" t="s">
        <v>686</v>
      </c>
      <c r="G3869" s="3" t="s">
        <v>106</v>
      </c>
      <c r="H3869" s="2" t="s">
        <v>36</v>
      </c>
      <c r="I3869" s="2" t="s">
        <v>9179</v>
      </c>
      <c r="J3869" s="3" t="str">
        <f>HYPERLINK("https://www.boe.es/gazeta/dias/1818/09/19/pdfs/GMD-1818-113.pdf#page=5","Abrir facsímil")</f>
        <v>Abrir facsímil</v>
      </c>
      <c r="K3869" s="3" t="s">
        <v>38</v>
      </c>
    </row>
    <row r="3870" spans="1:11" ht="42" customHeight="1">
      <c r="A3870" s="2" t="s">
        <v>9180</v>
      </c>
      <c r="B3870" s="2" t="s">
        <v>9181</v>
      </c>
      <c r="C3870" s="2" t="s">
        <v>68</v>
      </c>
      <c r="D3870" s="2" t="s">
        <v>69</v>
      </c>
      <c r="E3870" s="5">
        <v>-29607</v>
      </c>
      <c r="F3870" s="3" t="s">
        <v>704</v>
      </c>
      <c r="G3870" s="3" t="s">
        <v>20</v>
      </c>
      <c r="H3870" s="2" t="s">
        <v>36</v>
      </c>
      <c r="I3870" s="2" t="s">
        <v>9182</v>
      </c>
      <c r="J3870" s="3" t="str">
        <f>HYPERLINK("https://www.boe.es/gazeta/dias/1818/12/08/pdfs/GMD-1818-148.pdf#page=7","Abrir facsímil")</f>
        <v>Abrir facsímil</v>
      </c>
      <c r="K3870" s="3" t="s">
        <v>38</v>
      </c>
    </row>
    <row r="3871" spans="1:11" ht="42" customHeight="1">
      <c r="A3871" s="2" t="s">
        <v>9183</v>
      </c>
      <c r="B3871" s="2" t="s">
        <v>9183</v>
      </c>
      <c r="C3871" s="2" t="s">
        <v>26</v>
      </c>
      <c r="D3871" s="2" t="s">
        <v>27</v>
      </c>
      <c r="E3871" s="5">
        <v>-29901</v>
      </c>
      <c r="F3871" s="3" t="s">
        <v>417</v>
      </c>
      <c r="G3871" s="3" t="s">
        <v>59</v>
      </c>
      <c r="H3871" s="2" t="s">
        <v>36</v>
      </c>
      <c r="I3871" s="2" t="s">
        <v>9184</v>
      </c>
      <c r="J3871" s="3" t="str">
        <f>HYPERLINK("https://www.boe.es/gazeta/dias/1818/02/17/pdfs/GMD-1818-21.pdf#page=6","Abrir facsímil")</f>
        <v>Abrir facsímil</v>
      </c>
      <c r="K3871" s="3" t="s">
        <v>38</v>
      </c>
    </row>
    <row r="3872" spans="1:11" ht="42" customHeight="1">
      <c r="A3872" s="2" t="s">
        <v>9185</v>
      </c>
      <c r="B3872" s="2" t="s">
        <v>9186</v>
      </c>
      <c r="C3872" s="2" t="s">
        <v>17</v>
      </c>
      <c r="D3872" s="2" t="s">
        <v>18</v>
      </c>
      <c r="E3872" s="5">
        <v>-29631</v>
      </c>
      <c r="F3872" s="3" t="s">
        <v>743</v>
      </c>
      <c r="G3872" s="3" t="s">
        <v>49</v>
      </c>
      <c r="H3872" s="2" t="s">
        <v>36</v>
      </c>
      <c r="I3872" s="2" t="s">
        <v>9187</v>
      </c>
      <c r="J3872" s="3" t="str">
        <f>HYPERLINK("https://www.boe.es/gazeta/dias/1818/11/14/pdfs/GMD-1818-138.pdf#page=1","Abrir facsímil")</f>
        <v>Abrir facsímil</v>
      </c>
      <c r="K3872" s="3" t="s">
        <v>38</v>
      </c>
    </row>
    <row r="3873" spans="1:11" ht="42" customHeight="1">
      <c r="A3873" s="2" t="s">
        <v>9188</v>
      </c>
      <c r="B3873" s="2" t="s">
        <v>9188</v>
      </c>
      <c r="C3873" s="2" t="s">
        <v>68</v>
      </c>
      <c r="D3873" s="2" t="s">
        <v>69</v>
      </c>
      <c r="E3873" s="5">
        <v>-29827</v>
      </c>
      <c r="F3873" s="3" t="s">
        <v>280</v>
      </c>
      <c r="G3873" s="3" t="s">
        <v>29</v>
      </c>
      <c r="H3873" s="2" t="s">
        <v>36</v>
      </c>
      <c r="I3873" s="2" t="s">
        <v>9189</v>
      </c>
      <c r="J3873" s="3" t="str">
        <f>HYPERLINK("https://www.boe.es/gazeta/dias/1818/05/02/pdfs/GMD-1818-53.pdf#page=4","Abrir facsímil")</f>
        <v>Abrir facsímil</v>
      </c>
      <c r="K3873" s="3" t="s">
        <v>38</v>
      </c>
    </row>
    <row r="3874" spans="1:11" ht="42" customHeight="1">
      <c r="A3874" s="2" t="s">
        <v>9190</v>
      </c>
      <c r="B3874" s="2" t="s">
        <v>9190</v>
      </c>
      <c r="C3874" s="2" t="s">
        <v>26</v>
      </c>
      <c r="D3874" s="2" t="s">
        <v>27</v>
      </c>
      <c r="E3874" s="5">
        <v>-29901</v>
      </c>
      <c r="F3874" s="3" t="s">
        <v>417</v>
      </c>
      <c r="G3874" s="3" t="s">
        <v>106</v>
      </c>
      <c r="H3874" s="2" t="s">
        <v>36</v>
      </c>
      <c r="I3874" s="2" t="s">
        <v>9191</v>
      </c>
      <c r="J3874" s="3" t="str">
        <f>HYPERLINK("https://www.boe.es/gazeta/dias/1818/02/17/pdfs/GMD-1818-21.pdf#page=5","Abrir facsímil")</f>
        <v>Abrir facsímil</v>
      </c>
      <c r="K3874" s="3" t="s">
        <v>38</v>
      </c>
    </row>
    <row r="3875" spans="1:11" ht="42" customHeight="1">
      <c r="A3875" s="2" t="s">
        <v>9192</v>
      </c>
      <c r="B3875" s="2" t="s">
        <v>9193</v>
      </c>
      <c r="C3875" s="2" t="s">
        <v>26</v>
      </c>
      <c r="D3875" s="2" t="s">
        <v>27</v>
      </c>
      <c r="E3875" s="5">
        <v>-29901</v>
      </c>
      <c r="F3875" s="3" t="s">
        <v>417</v>
      </c>
      <c r="G3875" s="3" t="s">
        <v>106</v>
      </c>
      <c r="H3875" s="2" t="s">
        <v>36</v>
      </c>
      <c r="I3875" s="2" t="s">
        <v>9194</v>
      </c>
      <c r="J3875" s="3" t="str">
        <f>HYPERLINK("https://www.boe.es/gazeta/dias/1818/02/17/pdfs/GMD-1818-21.pdf#page=5","Abrir facsímil")</f>
        <v>Abrir facsímil</v>
      </c>
      <c r="K3875" s="3" t="s">
        <v>38</v>
      </c>
    </row>
    <row r="3876" spans="1:11" ht="42" customHeight="1">
      <c r="A3876" s="2" t="s">
        <v>9192</v>
      </c>
      <c r="B3876" s="2" t="s">
        <v>9193</v>
      </c>
      <c r="C3876" s="2" t="s">
        <v>26</v>
      </c>
      <c r="D3876" s="2" t="s">
        <v>27</v>
      </c>
      <c r="E3876" s="5">
        <v>-29901</v>
      </c>
      <c r="F3876" s="3" t="s">
        <v>417</v>
      </c>
      <c r="G3876" s="3" t="s">
        <v>59</v>
      </c>
      <c r="H3876" s="2" t="s">
        <v>36</v>
      </c>
      <c r="I3876" s="2" t="s">
        <v>9195</v>
      </c>
      <c r="J3876" s="3" t="str">
        <f>HYPERLINK("https://www.boe.es/gazeta/dias/1818/02/17/pdfs/GMD-1818-21.pdf#page=6","Abrir facsímil")</f>
        <v>Abrir facsímil</v>
      </c>
      <c r="K3876" s="3" t="s">
        <v>38</v>
      </c>
    </row>
    <row r="3877" spans="1:11" ht="42" customHeight="1">
      <c r="A3877" s="2" t="s">
        <v>9196</v>
      </c>
      <c r="B3877" s="2" t="s">
        <v>9197</v>
      </c>
      <c r="C3877" s="2" t="s">
        <v>57</v>
      </c>
      <c r="D3877" s="2" t="s">
        <v>18</v>
      </c>
      <c r="E3877" s="5">
        <v>-29698</v>
      </c>
      <c r="F3877" s="3" t="s">
        <v>148</v>
      </c>
      <c r="G3877" s="3" t="s">
        <v>59</v>
      </c>
      <c r="H3877" s="2" t="s">
        <v>36</v>
      </c>
      <c r="I3877" s="2" t="s">
        <v>9198</v>
      </c>
      <c r="J3877" s="3" t="str">
        <f>HYPERLINK("https://www.boe.es/gazeta/dias/1818/09/08/pdfs/GMD-1818-108.pdf#page=6","Abrir facsímil")</f>
        <v>Abrir facsímil</v>
      </c>
      <c r="K3877" s="3" t="s">
        <v>38</v>
      </c>
    </row>
    <row r="3878" spans="1:11" ht="42" customHeight="1">
      <c r="A3878" s="2" t="s">
        <v>9199</v>
      </c>
      <c r="B3878" s="2" t="s">
        <v>9200</v>
      </c>
      <c r="C3878" s="2" t="s">
        <v>68</v>
      </c>
      <c r="D3878" s="2" t="s">
        <v>69</v>
      </c>
      <c r="E3878" s="5">
        <v>-29729</v>
      </c>
      <c r="F3878" s="3" t="s">
        <v>488</v>
      </c>
      <c r="G3878" s="3" t="s">
        <v>489</v>
      </c>
      <c r="H3878" s="2" t="s">
        <v>36</v>
      </c>
      <c r="I3878" s="2" t="s">
        <v>9201</v>
      </c>
      <c r="J3878" s="3" t="str">
        <f>HYPERLINK("https://www.boe.es/gazeta/dias/1818/08/08/pdfs/GMD-1818-95.pdf#page=8","Abrir facsímil")</f>
        <v>Abrir facsímil</v>
      </c>
      <c r="K3878" s="3" t="s">
        <v>38</v>
      </c>
    </row>
    <row r="3879" spans="1:11" ht="42" customHeight="1">
      <c r="A3879" s="2" t="s">
        <v>9202</v>
      </c>
      <c r="B3879" s="2" t="s">
        <v>9203</v>
      </c>
      <c r="C3879" s="2" t="s">
        <v>68</v>
      </c>
      <c r="D3879" s="2" t="s">
        <v>69</v>
      </c>
      <c r="E3879" s="5">
        <v>-29701</v>
      </c>
      <c r="F3879" s="3" t="s">
        <v>596</v>
      </c>
      <c r="G3879" s="3" t="s">
        <v>20</v>
      </c>
      <c r="H3879" s="2" t="s">
        <v>36</v>
      </c>
      <c r="I3879" s="2" t="s">
        <v>9204</v>
      </c>
      <c r="J3879" s="3" t="str">
        <f>HYPERLINK("https://www.boe.es/gazeta/dias/1818/09/05/pdfs/GMD-1818-107.pdf#page=7","Abrir facsímil")</f>
        <v>Abrir facsímil</v>
      </c>
      <c r="K3879" s="3" t="s">
        <v>38</v>
      </c>
    </row>
    <row r="3880" spans="1:11" ht="42" customHeight="1">
      <c r="A3880" s="2" t="s">
        <v>9202</v>
      </c>
      <c r="B3880" s="2" t="s">
        <v>9203</v>
      </c>
      <c r="C3880" s="2" t="s">
        <v>68</v>
      </c>
      <c r="D3880" s="2" t="s">
        <v>69</v>
      </c>
      <c r="E3880" s="5">
        <v>-29687</v>
      </c>
      <c r="F3880" s="3" t="s">
        <v>686</v>
      </c>
      <c r="G3880" s="3" t="s">
        <v>45</v>
      </c>
      <c r="H3880" s="2" t="s">
        <v>36</v>
      </c>
      <c r="I3880" s="2" t="s">
        <v>9205</v>
      </c>
      <c r="J3880" s="3" t="str">
        <f>HYPERLINK("https://www.boe.es/gazeta/dias/1818/09/19/pdfs/GMD-1818-113.pdf#page=8","Abrir facsímil")</f>
        <v>Abrir facsímil</v>
      </c>
      <c r="K3880" s="3" t="s">
        <v>38</v>
      </c>
    </row>
    <row r="3881" spans="1:11" ht="42" customHeight="1">
      <c r="A3881" s="2" t="s">
        <v>9202</v>
      </c>
      <c r="B3881" s="2" t="s">
        <v>9203</v>
      </c>
      <c r="C3881" s="2" t="s">
        <v>68</v>
      </c>
      <c r="D3881" s="2" t="s">
        <v>69</v>
      </c>
      <c r="E3881" s="5">
        <v>-29635</v>
      </c>
      <c r="F3881" s="3" t="s">
        <v>560</v>
      </c>
      <c r="G3881" s="3" t="s">
        <v>45</v>
      </c>
      <c r="H3881" s="2" t="s">
        <v>36</v>
      </c>
      <c r="I3881" s="2" t="s">
        <v>9206</v>
      </c>
      <c r="J3881" s="3" t="str">
        <f>HYPERLINK("https://www.boe.es/gazeta/dias/1818/11/10/pdfs/GMD-1818-136.pdf#page=8","Abrir facsímil")</f>
        <v>Abrir facsímil</v>
      </c>
      <c r="K3881" s="3" t="s">
        <v>38</v>
      </c>
    </row>
    <row r="3882" spans="1:11" ht="42" customHeight="1">
      <c r="A3882" s="2" t="s">
        <v>9207</v>
      </c>
      <c r="B3882" s="2" t="s">
        <v>9208</v>
      </c>
      <c r="C3882" s="2" t="s">
        <v>26</v>
      </c>
      <c r="D3882" s="2" t="s">
        <v>27</v>
      </c>
      <c r="E3882" s="5">
        <v>-29684</v>
      </c>
      <c r="F3882" s="3" t="s">
        <v>311</v>
      </c>
      <c r="G3882" s="3" t="s">
        <v>59</v>
      </c>
      <c r="H3882" s="2" t="s">
        <v>36</v>
      </c>
      <c r="I3882" s="2" t="s">
        <v>9209</v>
      </c>
      <c r="J3882" s="3" t="str">
        <f>HYPERLINK("https://www.boe.es/gazeta/dias/1818/09/22/pdfs/GMD-1818-114.pdf#page=6","Abrir facsímil")</f>
        <v>Abrir facsímil</v>
      </c>
      <c r="K3882" s="3" t="s">
        <v>38</v>
      </c>
    </row>
    <row r="3883" spans="1:11" ht="42" customHeight="1">
      <c r="A3883" s="2" t="s">
        <v>9210</v>
      </c>
      <c r="B3883" s="2" t="s">
        <v>9211</v>
      </c>
      <c r="C3883" s="2" t="s">
        <v>26</v>
      </c>
      <c r="D3883" s="2" t="s">
        <v>27</v>
      </c>
      <c r="E3883" s="5">
        <v>-29703</v>
      </c>
      <c r="F3883" s="3" t="s">
        <v>294</v>
      </c>
      <c r="G3883" s="3" t="s">
        <v>59</v>
      </c>
      <c r="H3883" s="2" t="s">
        <v>36</v>
      </c>
      <c r="I3883" s="2" t="s">
        <v>9212</v>
      </c>
      <c r="J3883" s="3" t="str">
        <f>HYPERLINK("https://www.boe.es/gazeta/dias/1818/09/03/pdfs/GMD-1818-106.pdf#page=6","Abrir facsímil")</f>
        <v>Abrir facsímil</v>
      </c>
      <c r="K3883" s="3" t="s">
        <v>38</v>
      </c>
    </row>
    <row r="3884" spans="1:11" ht="42" customHeight="1">
      <c r="A3884" s="2" t="s">
        <v>9213</v>
      </c>
      <c r="B3884" s="2" t="s">
        <v>9213</v>
      </c>
      <c r="C3884" s="2" t="s">
        <v>26</v>
      </c>
      <c r="D3884" s="2" t="s">
        <v>27</v>
      </c>
      <c r="E3884" s="5">
        <v>-29773</v>
      </c>
      <c r="F3884" s="3" t="s">
        <v>424</v>
      </c>
      <c r="G3884" s="3" t="s">
        <v>49</v>
      </c>
      <c r="H3884" s="2" t="s">
        <v>36</v>
      </c>
      <c r="I3884" s="2" t="s">
        <v>9214</v>
      </c>
      <c r="J3884" s="3" t="str">
        <f>HYPERLINK("https://www.boe.es/gazeta/dias/1818/06/25/pdfs/GMD-1818-76.pdf#page=1","Abrir facsímil")</f>
        <v>Abrir facsímil</v>
      </c>
      <c r="K3884" s="3" t="s">
        <v>38</v>
      </c>
    </row>
    <row r="3885" spans="1:11" ht="42" customHeight="1">
      <c r="A3885" s="2" t="s">
        <v>9215</v>
      </c>
      <c r="B3885" s="2" t="s">
        <v>9215</v>
      </c>
      <c r="C3885" s="2" t="s">
        <v>26</v>
      </c>
      <c r="D3885" s="2" t="s">
        <v>27</v>
      </c>
      <c r="E3885" s="5">
        <v>-29824</v>
      </c>
      <c r="F3885" s="3" t="s">
        <v>101</v>
      </c>
      <c r="G3885" s="3" t="s">
        <v>49</v>
      </c>
      <c r="H3885" s="2" t="s">
        <v>36</v>
      </c>
      <c r="I3885" s="2" t="s">
        <v>9216</v>
      </c>
      <c r="J3885" s="3" t="str">
        <f>HYPERLINK("https://www.boe.es/gazeta/dias/1818/05/05/pdfs/GMD-1818-54.pdf#page=1","Abrir facsímil")</f>
        <v>Abrir facsímil</v>
      </c>
      <c r="K3885" s="3" t="s">
        <v>38</v>
      </c>
    </row>
    <row r="3886" spans="1:11" ht="42" customHeight="1">
      <c r="A3886" s="2" t="s">
        <v>9217</v>
      </c>
      <c r="B3886" s="2" t="s">
        <v>9217</v>
      </c>
      <c r="C3886" s="2" t="s">
        <v>26</v>
      </c>
      <c r="D3886" s="2" t="s">
        <v>27</v>
      </c>
      <c r="E3886" s="5">
        <v>-29754</v>
      </c>
      <c r="F3886" s="3" t="s">
        <v>466</v>
      </c>
      <c r="G3886" s="3" t="s">
        <v>120</v>
      </c>
      <c r="H3886" s="2" t="s">
        <v>36</v>
      </c>
      <c r="I3886" s="2" t="s">
        <v>9218</v>
      </c>
      <c r="J3886" s="3" t="str">
        <f>HYPERLINK("https://www.boe.es/gazeta/dias/1818/07/14/pdfs/GMD-1818-84.pdf#page=2","Abrir facsímil")</f>
        <v>Abrir facsímil</v>
      </c>
      <c r="K3886" s="3" t="s">
        <v>38</v>
      </c>
    </row>
    <row r="3887" spans="1:11" ht="42" customHeight="1">
      <c r="A3887" s="2" t="s">
        <v>9219</v>
      </c>
      <c r="B3887" s="2" t="s">
        <v>9220</v>
      </c>
      <c r="C3887" s="2" t="s">
        <v>26</v>
      </c>
      <c r="D3887" s="2" t="s">
        <v>27</v>
      </c>
      <c r="E3887" s="5">
        <v>-29899</v>
      </c>
      <c r="F3887" s="3" t="s">
        <v>232</v>
      </c>
      <c r="G3887" s="3" t="s">
        <v>59</v>
      </c>
      <c r="H3887" s="2" t="s">
        <v>36</v>
      </c>
      <c r="I3887" s="2" t="s">
        <v>9221</v>
      </c>
      <c r="J3887" s="3" t="str">
        <f>HYPERLINK("https://www.boe.es/gazeta/dias/1818/02/19/pdfs/GMD-1818-22.pdf#page=6","Abrir facsímil")</f>
        <v>Abrir facsímil</v>
      </c>
      <c r="K3887" s="3" t="s">
        <v>38</v>
      </c>
    </row>
    <row r="3888" spans="1:11" ht="42" customHeight="1">
      <c r="A3888" s="2" t="s">
        <v>9222</v>
      </c>
      <c r="B3888" s="2" t="s">
        <v>9222</v>
      </c>
      <c r="C3888" s="2" t="s">
        <v>215</v>
      </c>
      <c r="D3888" s="2" t="s">
        <v>18</v>
      </c>
      <c r="E3888" s="5">
        <v>-29619</v>
      </c>
      <c r="F3888" s="3" t="s">
        <v>64</v>
      </c>
      <c r="G3888" s="3" t="s">
        <v>29</v>
      </c>
      <c r="H3888" s="2" t="s">
        <v>36</v>
      </c>
      <c r="I3888" s="2" t="s">
        <v>9223</v>
      </c>
      <c r="J3888" s="3" t="str">
        <f>HYPERLINK("https://www.boe.es/gazeta/dias/1818/11/26/pdfs/GMD-1818-143.pdf#page=4","Abrir facsímil")</f>
        <v>Abrir facsímil</v>
      </c>
      <c r="K3888" s="3" t="s">
        <v>38</v>
      </c>
    </row>
    <row r="3889" spans="1:11" ht="42" customHeight="1">
      <c r="A3889" s="2" t="s">
        <v>9224</v>
      </c>
      <c r="B3889" s="2" t="s">
        <v>9225</v>
      </c>
      <c r="C3889" s="2" t="s">
        <v>17</v>
      </c>
      <c r="D3889" s="2" t="s">
        <v>18</v>
      </c>
      <c r="E3889" s="5">
        <v>-29628</v>
      </c>
      <c r="F3889" s="3" t="s">
        <v>58</v>
      </c>
      <c r="G3889" s="3" t="s">
        <v>20</v>
      </c>
      <c r="H3889" s="2" t="s">
        <v>36</v>
      </c>
      <c r="I3889" s="2" t="s">
        <v>9226</v>
      </c>
      <c r="J3889" s="3" t="str">
        <f>HYPERLINK("https://www.boe.es/gazeta/dias/1818/11/17/pdfs/GMD-1818-139.pdf#page=7","Abrir facsímil")</f>
        <v>Abrir facsímil</v>
      </c>
      <c r="K3889" s="3" t="s">
        <v>38</v>
      </c>
    </row>
    <row r="3890" spans="1:11" ht="42" customHeight="1">
      <c r="A3890" s="2" t="s">
        <v>9227</v>
      </c>
      <c r="B3890" s="2" t="s">
        <v>9227</v>
      </c>
      <c r="C3890" s="2" t="s">
        <v>26</v>
      </c>
      <c r="D3890" s="2" t="s">
        <v>27</v>
      </c>
      <c r="E3890" s="5">
        <v>-29855</v>
      </c>
      <c r="F3890" s="3" t="s">
        <v>676</v>
      </c>
      <c r="G3890" s="3" t="s">
        <v>29</v>
      </c>
      <c r="H3890" s="2" t="s">
        <v>36</v>
      </c>
      <c r="I3890" s="2" t="s">
        <v>9228</v>
      </c>
      <c r="J3890" s="3" t="str">
        <f>HYPERLINK("https://www.boe.es/gazeta/dias/1818/04/04/pdfs/GMD-1818-41.pdf#page=4","Abrir facsímil")</f>
        <v>Abrir facsímil</v>
      </c>
      <c r="K3890" s="3" t="s">
        <v>38</v>
      </c>
    </row>
    <row r="3891" spans="1:11" ht="42" customHeight="1">
      <c r="A3891" s="2" t="s">
        <v>9229</v>
      </c>
      <c r="B3891" s="2" t="s">
        <v>9230</v>
      </c>
      <c r="C3891" s="2" t="s">
        <v>33</v>
      </c>
      <c r="D3891" s="2" t="s">
        <v>18</v>
      </c>
      <c r="E3891" s="5">
        <v>-29873</v>
      </c>
      <c r="F3891" s="3" t="s">
        <v>323</v>
      </c>
      <c r="G3891" s="3" t="s">
        <v>45</v>
      </c>
      <c r="H3891" s="2" t="s">
        <v>36</v>
      </c>
      <c r="I3891" s="2" t="s">
        <v>9231</v>
      </c>
      <c r="J3891" s="3" t="str">
        <f>HYPERLINK("https://www.boe.es/gazeta/dias/1818/03/17/pdfs/GMD-1818-33.pdf#page=8","Abrir facsímil")</f>
        <v>Abrir facsímil</v>
      </c>
      <c r="K3891" s="3" t="s">
        <v>38</v>
      </c>
    </row>
    <row r="3892" spans="1:11" ht="42" customHeight="1">
      <c r="A3892" s="2" t="s">
        <v>9232</v>
      </c>
      <c r="B3892" s="2" t="s">
        <v>9233</v>
      </c>
      <c r="C3892" s="2" t="s">
        <v>26</v>
      </c>
      <c r="D3892" s="2" t="s">
        <v>27</v>
      </c>
      <c r="E3892" s="5">
        <v>-29897</v>
      </c>
      <c r="F3892" s="3" t="s">
        <v>318</v>
      </c>
      <c r="G3892" s="3" t="s">
        <v>45</v>
      </c>
      <c r="H3892" s="2" t="s">
        <v>21</v>
      </c>
      <c r="I3892" s="2" t="s">
        <v>9234</v>
      </c>
      <c r="J3892" s="3" t="str">
        <f>HYPERLINK("https://www.boe.es/gazeta/dias/1818/02/21/pdfs/GMD-1818-23.pdf#page=8","Abrir facsímil")</f>
        <v>Abrir facsímil</v>
      </c>
      <c r="K3892" s="3" t="s">
        <v>23</v>
      </c>
    </row>
    <row r="3893" spans="1:11" ht="42" customHeight="1">
      <c r="A3893" s="2" t="s">
        <v>9235</v>
      </c>
      <c r="B3893" s="2" t="s">
        <v>9236</v>
      </c>
      <c r="C3893" s="2" t="s">
        <v>68</v>
      </c>
      <c r="D3893" s="2" t="s">
        <v>69</v>
      </c>
      <c r="E3893" s="5">
        <v>-29880</v>
      </c>
      <c r="F3893" s="3" t="s">
        <v>359</v>
      </c>
      <c r="G3893" s="3" t="s">
        <v>1221</v>
      </c>
      <c r="H3893" s="2" t="s">
        <v>36</v>
      </c>
      <c r="I3893" s="2" t="s">
        <v>9237</v>
      </c>
      <c r="J3893" s="3" t="str">
        <f>HYPERLINK("https://www.boe.es/gazeta/dias/1818/03/10/pdfs/GMD-1818-30.pdf#page=8","Abrir facsímil")</f>
        <v>Abrir facsímil</v>
      </c>
      <c r="K3893" s="3" t="s">
        <v>38</v>
      </c>
    </row>
    <row r="3894" spans="1:11" ht="42" customHeight="1">
      <c r="A3894" s="2" t="s">
        <v>9238</v>
      </c>
      <c r="B3894" s="2" t="s">
        <v>9238</v>
      </c>
      <c r="C3894" s="2" t="s">
        <v>26</v>
      </c>
      <c r="D3894" s="2" t="s">
        <v>27</v>
      </c>
      <c r="E3894" s="5">
        <v>-29764</v>
      </c>
      <c r="F3894" s="3" t="s">
        <v>464</v>
      </c>
      <c r="G3894" s="3" t="s">
        <v>59</v>
      </c>
      <c r="H3894" s="2" t="s">
        <v>36</v>
      </c>
      <c r="I3894" s="2" t="s">
        <v>9239</v>
      </c>
      <c r="J3894" s="3" t="str">
        <f>HYPERLINK("https://www.boe.es/gazeta/dias/1818/07/04/pdfs/GMD-1818-80.pdf#page=6","Abrir facsímil")</f>
        <v>Abrir facsímil</v>
      </c>
      <c r="K3894" s="3" t="s">
        <v>38</v>
      </c>
    </row>
    <row r="3895" spans="1:11" ht="42" customHeight="1">
      <c r="A3895" s="2" t="s">
        <v>9240</v>
      </c>
      <c r="B3895" s="2" t="s">
        <v>9241</v>
      </c>
      <c r="C3895" s="2" t="s">
        <v>68</v>
      </c>
      <c r="D3895" s="2" t="s">
        <v>69</v>
      </c>
      <c r="E3895" s="5">
        <v>-29591</v>
      </c>
      <c r="F3895" s="3" t="s">
        <v>1414</v>
      </c>
      <c r="G3895" s="3" t="s">
        <v>1592</v>
      </c>
      <c r="H3895" s="2" t="s">
        <v>36</v>
      </c>
      <c r="I3895" s="2" t="s">
        <v>9242</v>
      </c>
      <c r="J3895" s="3" t="str">
        <f>HYPERLINK("https://www.boe.es/gazeta/dias/1818/12/24/pdfs/GMD-1818-155.pdf#page=6","Abrir facsímil")</f>
        <v>Abrir facsímil</v>
      </c>
      <c r="K3895" s="3" t="s">
        <v>38</v>
      </c>
    </row>
    <row r="3896" spans="1:11" ht="42" customHeight="1">
      <c r="A3896" s="2" t="s">
        <v>9243</v>
      </c>
      <c r="B3896" s="2" t="s">
        <v>9244</v>
      </c>
      <c r="C3896" s="2" t="s">
        <v>17</v>
      </c>
      <c r="D3896" s="2" t="s">
        <v>18</v>
      </c>
      <c r="E3896" s="5">
        <v>-29677</v>
      </c>
      <c r="F3896" s="3" t="s">
        <v>157</v>
      </c>
      <c r="G3896" s="3" t="s">
        <v>59</v>
      </c>
      <c r="H3896" s="2" t="s">
        <v>36</v>
      </c>
      <c r="I3896" s="2" t="s">
        <v>9245</v>
      </c>
      <c r="J3896" s="3" t="str">
        <f>HYPERLINK("https://www.boe.es/gazeta/dias/1818/09/29/pdfs/GMD-1818-117.pdf#page=6","Abrir facsímil")</f>
        <v>Abrir facsímil</v>
      </c>
      <c r="K3896" s="3" t="s">
        <v>38</v>
      </c>
    </row>
    <row r="3897" spans="1:11" ht="42" customHeight="1">
      <c r="A3897" s="2" t="s">
        <v>9246</v>
      </c>
      <c r="B3897" s="2" t="s">
        <v>9246</v>
      </c>
      <c r="C3897" s="2" t="s">
        <v>26</v>
      </c>
      <c r="D3897" s="2" t="s">
        <v>27</v>
      </c>
      <c r="E3897" s="5">
        <v>-29936</v>
      </c>
      <c r="F3897" s="3" t="s">
        <v>398</v>
      </c>
      <c r="G3897" s="3" t="s">
        <v>85</v>
      </c>
      <c r="H3897" s="2" t="s">
        <v>36</v>
      </c>
      <c r="I3897" s="2" t="s">
        <v>9247</v>
      </c>
      <c r="J3897" s="3" t="str">
        <f>HYPERLINK("https://www.boe.es/gazeta/dias/1818/01/13/pdfs/GMD-1818-6.pdf#page=3","Abrir facsímil")</f>
        <v>Abrir facsímil</v>
      </c>
      <c r="K3897" s="3" t="s">
        <v>38</v>
      </c>
    </row>
    <row r="3898" spans="1:11" ht="42" customHeight="1">
      <c r="A3898" s="2" t="s">
        <v>9246</v>
      </c>
      <c r="B3898" s="2" t="s">
        <v>9246</v>
      </c>
      <c r="C3898" s="2" t="s">
        <v>26</v>
      </c>
      <c r="D3898" s="2" t="s">
        <v>27</v>
      </c>
      <c r="E3898" s="5">
        <v>-29927</v>
      </c>
      <c r="F3898" s="3" t="s">
        <v>1381</v>
      </c>
      <c r="G3898" s="3" t="s">
        <v>29</v>
      </c>
      <c r="H3898" s="2" t="s">
        <v>36</v>
      </c>
      <c r="I3898" s="2" t="s">
        <v>9248</v>
      </c>
      <c r="J3898" s="3" t="str">
        <f>HYPERLINK("https://www.boe.es/gazeta/dias/1818/01/22/pdfs/GMD-1818-10.pdf#page=4","Abrir facsímil")</f>
        <v>Abrir facsímil</v>
      </c>
      <c r="K3898" s="3" t="s">
        <v>38</v>
      </c>
    </row>
    <row r="3899" spans="1:11" ht="42" customHeight="1">
      <c r="A3899" s="2" t="s">
        <v>9246</v>
      </c>
      <c r="B3899" s="2" t="s">
        <v>9246</v>
      </c>
      <c r="C3899" s="2" t="s">
        <v>26</v>
      </c>
      <c r="D3899" s="2" t="s">
        <v>27</v>
      </c>
      <c r="E3899" s="5">
        <v>-29911</v>
      </c>
      <c r="F3899" s="3" t="s">
        <v>509</v>
      </c>
      <c r="G3899" s="3" t="s">
        <v>5136</v>
      </c>
      <c r="H3899" s="2" t="s">
        <v>36</v>
      </c>
      <c r="I3899" s="2" t="s">
        <v>9249</v>
      </c>
      <c r="J3899" s="3" t="str">
        <f>HYPERLINK("https://www.boe.es/gazeta/dias/1818/02/07/pdfs/GMD-1818-17.pdf#page=4","Abrir facsímil")</f>
        <v>Abrir facsímil</v>
      </c>
      <c r="K3899" s="3" t="s">
        <v>38</v>
      </c>
    </row>
    <row r="3900" spans="1:11" ht="42" customHeight="1">
      <c r="A3900" s="2" t="s">
        <v>9246</v>
      </c>
      <c r="B3900" s="2" t="s">
        <v>9246</v>
      </c>
      <c r="C3900" s="2" t="s">
        <v>26</v>
      </c>
      <c r="D3900" s="2" t="s">
        <v>27</v>
      </c>
      <c r="E3900" s="5">
        <v>-29708</v>
      </c>
      <c r="F3900" s="3" t="s">
        <v>413</v>
      </c>
      <c r="G3900" s="3" t="s">
        <v>29</v>
      </c>
      <c r="H3900" s="2" t="s">
        <v>36</v>
      </c>
      <c r="I3900" s="2" t="s">
        <v>9250</v>
      </c>
      <c r="J3900" s="3" t="str">
        <f>HYPERLINK("https://www.boe.es/gazeta/dias/1818/08/29/pdfs/GMD-1818-104.pdf#page=4","Abrir facsímil")</f>
        <v>Abrir facsímil</v>
      </c>
      <c r="K3900" s="3" t="s">
        <v>38</v>
      </c>
    </row>
    <row r="3901" spans="1:11" ht="42" customHeight="1">
      <c r="A3901" s="2" t="s">
        <v>9251</v>
      </c>
      <c r="B3901" s="2" t="s">
        <v>9252</v>
      </c>
      <c r="C3901" s="2" t="s">
        <v>68</v>
      </c>
      <c r="D3901" s="2" t="s">
        <v>69</v>
      </c>
      <c r="E3901" s="5">
        <v>-29920</v>
      </c>
      <c r="F3901" s="3" t="s">
        <v>201</v>
      </c>
      <c r="G3901" s="3" t="s">
        <v>71</v>
      </c>
      <c r="H3901" s="2" t="s">
        <v>36</v>
      </c>
      <c r="I3901" s="2" t="s">
        <v>9253</v>
      </c>
      <c r="J3901" s="3" t="str">
        <f>HYPERLINK("https://www.boe.es/gazeta/dias/1818/01/29/pdfs/GMD-1818-13.pdf#page=16","Abrir facsímil")</f>
        <v>Abrir facsímil</v>
      </c>
      <c r="K3901" s="3" t="s">
        <v>38</v>
      </c>
    </row>
    <row r="3902" spans="1:11" ht="42" customHeight="1">
      <c r="A3902" s="2" t="s">
        <v>9251</v>
      </c>
      <c r="B3902" s="2" t="s">
        <v>9252</v>
      </c>
      <c r="C3902" s="2" t="s">
        <v>68</v>
      </c>
      <c r="D3902" s="2" t="s">
        <v>69</v>
      </c>
      <c r="E3902" s="5">
        <v>-29892</v>
      </c>
      <c r="F3902" s="3" t="s">
        <v>39</v>
      </c>
      <c r="G3902" s="3" t="s">
        <v>40</v>
      </c>
      <c r="H3902" s="2" t="s">
        <v>36</v>
      </c>
      <c r="I3902" s="2" t="s">
        <v>9254</v>
      </c>
      <c r="J3902" s="3" t="str">
        <f>HYPERLINK("https://www.boe.es/gazeta/dias/1818/02/26/pdfs/GMD-1818-25.pdf#page=8","Abrir facsímil")</f>
        <v>Abrir facsímil</v>
      </c>
      <c r="K3902" s="3" t="s">
        <v>38</v>
      </c>
    </row>
    <row r="3903" spans="1:11" ht="42" customHeight="1">
      <c r="A3903" s="2" t="s">
        <v>9251</v>
      </c>
      <c r="B3903" s="2" t="s">
        <v>9252</v>
      </c>
      <c r="C3903" s="2" t="s">
        <v>17</v>
      </c>
      <c r="D3903" s="2" t="s">
        <v>18</v>
      </c>
      <c r="E3903" s="5">
        <v>-29866</v>
      </c>
      <c r="F3903" s="3" t="s">
        <v>828</v>
      </c>
      <c r="G3903" s="3" t="s">
        <v>45</v>
      </c>
      <c r="H3903" s="2" t="s">
        <v>36</v>
      </c>
      <c r="I3903" s="2" t="s">
        <v>9255</v>
      </c>
      <c r="J3903" s="3" t="str">
        <f>HYPERLINK("https://www.boe.es/gazeta/dias/1818/03/24/pdfs/GMD-1818-36.pdf#page=8","Abrir facsímil")</f>
        <v>Abrir facsímil</v>
      </c>
      <c r="K3903" s="3" t="s">
        <v>38</v>
      </c>
    </row>
    <row r="3904" spans="1:11" ht="42" customHeight="1">
      <c r="A3904" s="2" t="s">
        <v>9251</v>
      </c>
      <c r="B3904" s="2" t="s">
        <v>9252</v>
      </c>
      <c r="C3904" s="2" t="s">
        <v>68</v>
      </c>
      <c r="D3904" s="2" t="s">
        <v>69</v>
      </c>
      <c r="E3904" s="5">
        <v>-29838</v>
      </c>
      <c r="F3904" s="3" t="s">
        <v>593</v>
      </c>
      <c r="G3904" s="3" t="s">
        <v>45</v>
      </c>
      <c r="H3904" s="2" t="s">
        <v>36</v>
      </c>
      <c r="I3904" s="2" t="s">
        <v>9256</v>
      </c>
      <c r="J3904" s="3" t="str">
        <f>HYPERLINK("https://www.boe.es/gazeta/dias/1818/04/21/pdfs/GMD-1818-48.pdf#page=8","Abrir facsímil")</f>
        <v>Abrir facsímil</v>
      </c>
      <c r="K3904" s="3" t="s">
        <v>38</v>
      </c>
    </row>
    <row r="3905" spans="1:11" ht="42" customHeight="1">
      <c r="A3905" s="2" t="s">
        <v>9251</v>
      </c>
      <c r="B3905" s="2" t="s">
        <v>9252</v>
      </c>
      <c r="C3905" s="2" t="s">
        <v>68</v>
      </c>
      <c r="D3905" s="2" t="s">
        <v>69</v>
      </c>
      <c r="E3905" s="5">
        <v>-29820</v>
      </c>
      <c r="F3905" s="3" t="s">
        <v>2971</v>
      </c>
      <c r="G3905" s="3" t="s">
        <v>20</v>
      </c>
      <c r="H3905" s="2" t="s">
        <v>36</v>
      </c>
      <c r="I3905" s="2" t="s">
        <v>9257</v>
      </c>
      <c r="J3905" s="3" t="str">
        <f>HYPERLINK("https://www.boe.es/gazeta/dias/1818/05/09/pdfs/GMD-1818-56.pdf#page=7","Abrir facsímil")</f>
        <v>Abrir facsímil</v>
      </c>
      <c r="K3905" s="3" t="s">
        <v>38</v>
      </c>
    </row>
    <row r="3906" spans="1:11" ht="42" customHeight="1">
      <c r="A3906" s="2" t="s">
        <v>9251</v>
      </c>
      <c r="B3906" s="2" t="s">
        <v>9252</v>
      </c>
      <c r="C3906" s="2" t="s">
        <v>97</v>
      </c>
      <c r="D3906" s="2" t="s">
        <v>18</v>
      </c>
      <c r="E3906" s="5">
        <v>-29778</v>
      </c>
      <c r="F3906" s="3" t="s">
        <v>239</v>
      </c>
      <c r="G3906" s="3" t="s">
        <v>45</v>
      </c>
      <c r="H3906" s="2" t="s">
        <v>36</v>
      </c>
      <c r="I3906" s="2" t="s">
        <v>9258</v>
      </c>
      <c r="J3906" s="3" t="str">
        <f>HYPERLINK("https://www.boe.es/gazeta/dias/1818/06/20/pdfs/GMD-1818-74.pdf#page=8","Abrir facsímil")</f>
        <v>Abrir facsímil</v>
      </c>
      <c r="K3906" s="3" t="s">
        <v>38</v>
      </c>
    </row>
    <row r="3907" spans="1:11" ht="42" customHeight="1">
      <c r="A3907" s="2" t="s">
        <v>9259</v>
      </c>
      <c r="B3907" s="2" t="s">
        <v>9259</v>
      </c>
      <c r="C3907" s="2" t="s">
        <v>68</v>
      </c>
      <c r="D3907" s="2" t="s">
        <v>69</v>
      </c>
      <c r="E3907" s="5">
        <v>-29948</v>
      </c>
      <c r="F3907" s="3" t="s">
        <v>199</v>
      </c>
      <c r="G3907" s="3" t="s">
        <v>20</v>
      </c>
      <c r="H3907" s="2" t="s">
        <v>36</v>
      </c>
      <c r="I3907" s="2" t="s">
        <v>9260</v>
      </c>
      <c r="J3907" s="3" t="str">
        <f>HYPERLINK("https://www.boe.es/gazeta/dias/1818/01/01/pdfs/GMD-1818-1.pdf#page=7","Abrir facsímil")</f>
        <v>Abrir facsímil</v>
      </c>
      <c r="K3907" s="3" t="s">
        <v>38</v>
      </c>
    </row>
    <row r="3908" spans="1:11" ht="42" customHeight="1">
      <c r="A3908" s="2" t="s">
        <v>9259</v>
      </c>
      <c r="B3908" s="2" t="s">
        <v>9259</v>
      </c>
      <c r="C3908" s="2" t="s">
        <v>68</v>
      </c>
      <c r="D3908" s="2" t="s">
        <v>69</v>
      </c>
      <c r="E3908" s="5">
        <v>-29941</v>
      </c>
      <c r="F3908" s="3" t="s">
        <v>2259</v>
      </c>
      <c r="G3908" s="3" t="s">
        <v>2871</v>
      </c>
      <c r="H3908" s="2" t="s">
        <v>36</v>
      </c>
      <c r="I3908" s="2" t="s">
        <v>9261</v>
      </c>
      <c r="J3908" s="3" t="str">
        <f>HYPERLINK("https://www.boe.es/gazeta/dias/1818/01/08/pdfs/GMD-1818-4.pdf#page=8","Abrir facsímil")</f>
        <v>Abrir facsímil</v>
      </c>
      <c r="K3908" s="3" t="s">
        <v>38</v>
      </c>
    </row>
    <row r="3909" spans="1:11" ht="42" customHeight="1">
      <c r="A3909" s="2" t="s">
        <v>9262</v>
      </c>
      <c r="B3909" s="2" t="s">
        <v>9262</v>
      </c>
      <c r="C3909" s="2" t="s">
        <v>26</v>
      </c>
      <c r="D3909" s="2" t="s">
        <v>27</v>
      </c>
      <c r="E3909" s="5">
        <v>-29911</v>
      </c>
      <c r="F3909" s="3" t="s">
        <v>509</v>
      </c>
      <c r="G3909" s="3" t="s">
        <v>85</v>
      </c>
      <c r="H3909" s="2" t="s">
        <v>36</v>
      </c>
      <c r="I3909" s="2" t="s">
        <v>9263</v>
      </c>
      <c r="J3909" s="3" t="str">
        <f>HYPERLINK("https://www.boe.es/gazeta/dias/1818/02/07/pdfs/GMD-1818-17.pdf#page=3","Abrir facsímil")</f>
        <v>Abrir facsímil</v>
      </c>
      <c r="K3909" s="3" t="s">
        <v>38</v>
      </c>
    </row>
    <row r="3910" spans="1:11" ht="42" customHeight="1">
      <c r="A3910" s="2" t="s">
        <v>9262</v>
      </c>
      <c r="B3910" s="2" t="s">
        <v>9262</v>
      </c>
      <c r="C3910" s="2" t="s">
        <v>68</v>
      </c>
      <c r="D3910" s="2" t="s">
        <v>69</v>
      </c>
      <c r="E3910" s="5">
        <v>-29897</v>
      </c>
      <c r="F3910" s="3" t="s">
        <v>318</v>
      </c>
      <c r="G3910" s="3" t="s">
        <v>20</v>
      </c>
      <c r="H3910" s="2" t="s">
        <v>36</v>
      </c>
      <c r="I3910" s="2" t="s">
        <v>9264</v>
      </c>
      <c r="J3910" s="3" t="str">
        <f>HYPERLINK("https://www.boe.es/gazeta/dias/1818/02/21/pdfs/GMD-1818-23.pdf#page=7","Abrir facsímil")</f>
        <v>Abrir facsímil</v>
      </c>
      <c r="K3910" s="3" t="s">
        <v>38</v>
      </c>
    </row>
    <row r="3911" spans="1:11" ht="42" customHeight="1">
      <c r="A3911" s="2" t="s">
        <v>9262</v>
      </c>
      <c r="B3911" s="2" t="s">
        <v>9262</v>
      </c>
      <c r="C3911" s="2" t="s">
        <v>26</v>
      </c>
      <c r="D3911" s="2" t="s">
        <v>27</v>
      </c>
      <c r="E3911" s="5">
        <v>-29719</v>
      </c>
      <c r="F3911" s="3" t="s">
        <v>243</v>
      </c>
      <c r="G3911" s="3" t="s">
        <v>59</v>
      </c>
      <c r="H3911" s="2" t="s">
        <v>36</v>
      </c>
      <c r="I3911" s="2" t="s">
        <v>9265</v>
      </c>
      <c r="J3911" s="3" t="str">
        <f>HYPERLINK("https://www.boe.es/gazeta/dias/1818/08/18/pdfs/GMD-1818-99.pdf#page=6","Abrir facsímil")</f>
        <v>Abrir facsímil</v>
      </c>
      <c r="K3911" s="3" t="s">
        <v>38</v>
      </c>
    </row>
    <row r="3912" spans="1:11" ht="42" customHeight="1">
      <c r="A3912" s="2" t="s">
        <v>9266</v>
      </c>
      <c r="B3912" s="2" t="s">
        <v>9267</v>
      </c>
      <c r="C3912" s="2" t="s">
        <v>26</v>
      </c>
      <c r="D3912" s="2" t="s">
        <v>27</v>
      </c>
      <c r="E3912" s="5">
        <v>-29913</v>
      </c>
      <c r="F3912" s="3" t="s">
        <v>449</v>
      </c>
      <c r="G3912" s="3" t="s">
        <v>45</v>
      </c>
      <c r="H3912" s="2" t="s">
        <v>36</v>
      </c>
      <c r="I3912" s="2" t="s">
        <v>9268</v>
      </c>
      <c r="J3912" s="3" t="str">
        <f>HYPERLINK("https://www.boe.es/gazeta/dias/1818/02/05/pdfs/GMD-1818-16.pdf#page=8","Abrir facsímil")</f>
        <v>Abrir facsímil</v>
      </c>
      <c r="K3912" s="3" t="s">
        <v>38</v>
      </c>
    </row>
    <row r="3913" spans="1:11" ht="42" customHeight="1">
      <c r="A3913" s="2" t="s">
        <v>9269</v>
      </c>
      <c r="B3913" s="2" t="s">
        <v>9269</v>
      </c>
      <c r="C3913" s="2" t="s">
        <v>68</v>
      </c>
      <c r="D3913" s="2" t="s">
        <v>69</v>
      </c>
      <c r="E3913" s="5">
        <v>-29939</v>
      </c>
      <c r="F3913" s="3" t="s">
        <v>110</v>
      </c>
      <c r="G3913" s="3" t="s">
        <v>116</v>
      </c>
      <c r="H3913" s="2" t="s">
        <v>36</v>
      </c>
      <c r="I3913" s="2" t="s">
        <v>9270</v>
      </c>
      <c r="J3913" s="3" t="str">
        <f>HYPERLINK("https://www.boe.es/gazeta/dias/1818/01/10/pdfs/GMD-1818-5.pdf#page=12","Abrir facsímil")</f>
        <v>Abrir facsímil</v>
      </c>
      <c r="K3913" s="3" t="s">
        <v>38</v>
      </c>
    </row>
    <row r="3914" spans="1:11" ht="42" customHeight="1">
      <c r="A3914" s="2" t="s">
        <v>9271</v>
      </c>
      <c r="B3914" s="2" t="s">
        <v>9272</v>
      </c>
      <c r="C3914" s="2" t="s">
        <v>26</v>
      </c>
      <c r="D3914" s="2" t="s">
        <v>27</v>
      </c>
      <c r="E3914" s="5">
        <v>-29691</v>
      </c>
      <c r="F3914" s="3" t="s">
        <v>144</v>
      </c>
      <c r="G3914" s="3" t="s">
        <v>45</v>
      </c>
      <c r="H3914" s="2" t="s">
        <v>36</v>
      </c>
      <c r="I3914" s="2" t="s">
        <v>9273</v>
      </c>
      <c r="J3914" s="3" t="str">
        <f>HYPERLINK("https://www.boe.es/gazeta/dias/1818/09/15/pdfs/GMD-1818-111.pdf#page=8","Abrir facsímil")</f>
        <v>Abrir facsímil</v>
      </c>
      <c r="K3914" s="3" t="s">
        <v>38</v>
      </c>
    </row>
    <row r="3915" spans="1:11" ht="42" customHeight="1">
      <c r="A3915" s="2" t="s">
        <v>9274</v>
      </c>
      <c r="B3915" s="2" t="s">
        <v>9275</v>
      </c>
      <c r="C3915" s="2" t="s">
        <v>17</v>
      </c>
      <c r="D3915" s="2" t="s">
        <v>18</v>
      </c>
      <c r="E3915" s="5">
        <v>-29698</v>
      </c>
      <c r="F3915" s="3" t="s">
        <v>148</v>
      </c>
      <c r="G3915" s="3" t="s">
        <v>29</v>
      </c>
      <c r="H3915" s="2" t="s">
        <v>36</v>
      </c>
      <c r="I3915" s="2" t="s">
        <v>9276</v>
      </c>
      <c r="J3915" s="3" t="str">
        <f>HYPERLINK("https://www.boe.es/gazeta/dias/1818/09/08/pdfs/GMD-1818-108.pdf#page=4","Abrir facsímil")</f>
        <v>Abrir facsímil</v>
      </c>
      <c r="K3915" s="3" t="s">
        <v>38</v>
      </c>
    </row>
    <row r="3916" spans="1:11" ht="42" customHeight="1">
      <c r="A3916" s="2" t="s">
        <v>9277</v>
      </c>
      <c r="B3916" s="2" t="s">
        <v>9278</v>
      </c>
      <c r="C3916" s="2" t="s">
        <v>57</v>
      </c>
      <c r="D3916" s="2" t="s">
        <v>18</v>
      </c>
      <c r="E3916" s="5">
        <v>-29619</v>
      </c>
      <c r="F3916" s="3" t="s">
        <v>64</v>
      </c>
      <c r="G3916" s="3" t="s">
        <v>20</v>
      </c>
      <c r="H3916" s="2" t="s">
        <v>36</v>
      </c>
      <c r="I3916" s="2" t="s">
        <v>9279</v>
      </c>
      <c r="J3916" s="3" t="str">
        <f>HYPERLINK("https://www.boe.es/gazeta/dias/1818/11/26/pdfs/GMD-1818-143.pdf#page=7","Abrir facsímil")</f>
        <v>Abrir facsímil</v>
      </c>
      <c r="K3916" s="3" t="s">
        <v>38</v>
      </c>
    </row>
    <row r="3917" spans="1:11" ht="42" customHeight="1">
      <c r="A3917" s="2" t="s">
        <v>9280</v>
      </c>
      <c r="B3917" s="2" t="s">
        <v>9281</v>
      </c>
      <c r="C3917" s="2" t="s">
        <v>68</v>
      </c>
      <c r="D3917" s="2" t="s">
        <v>69</v>
      </c>
      <c r="E3917" s="5">
        <v>-29939</v>
      </c>
      <c r="F3917" s="3" t="s">
        <v>110</v>
      </c>
      <c r="G3917" s="3" t="s">
        <v>503</v>
      </c>
      <c r="H3917" s="2" t="s">
        <v>36</v>
      </c>
      <c r="I3917" s="2" t="s">
        <v>9282</v>
      </c>
      <c r="J3917" s="3" t="str">
        <f>HYPERLINK("https://www.boe.es/gazeta/dias/1818/01/10/pdfs/GMD-1818-5.pdf#page=10","Abrir facsímil")</f>
        <v>Abrir facsímil</v>
      </c>
      <c r="K3917" s="3" t="s">
        <v>38</v>
      </c>
    </row>
    <row r="3918" spans="1:11" ht="42" customHeight="1">
      <c r="A3918" s="2" t="s">
        <v>9283</v>
      </c>
      <c r="B3918" s="2" t="s">
        <v>9283</v>
      </c>
      <c r="C3918" s="2" t="s">
        <v>97</v>
      </c>
      <c r="D3918" s="2" t="s">
        <v>18</v>
      </c>
      <c r="E3918" s="5">
        <v>-29600</v>
      </c>
      <c r="F3918" s="3" t="s">
        <v>697</v>
      </c>
      <c r="G3918" s="3" t="s">
        <v>1752</v>
      </c>
      <c r="H3918" s="2" t="s">
        <v>36</v>
      </c>
      <c r="I3918" s="2" t="s">
        <v>9284</v>
      </c>
      <c r="J3918" s="3" t="str">
        <f>HYPERLINK("https://www.boe.es/gazeta/dias/1818/12/15/pdfs/GMD-1818-151.pdf#page=2","Abrir facsímil")</f>
        <v>Abrir facsímil</v>
      </c>
      <c r="K3918" s="3" t="s">
        <v>38</v>
      </c>
    </row>
    <row r="3919" spans="1:11" ht="42" customHeight="1">
      <c r="A3919" s="2" t="s">
        <v>9285</v>
      </c>
      <c r="B3919" s="2" t="s">
        <v>9286</v>
      </c>
      <c r="C3919" s="2" t="s">
        <v>68</v>
      </c>
      <c r="D3919" s="2" t="s">
        <v>69</v>
      </c>
      <c r="E3919" s="5">
        <v>-29838</v>
      </c>
      <c r="F3919" s="3" t="s">
        <v>593</v>
      </c>
      <c r="G3919" s="3" t="s">
        <v>20</v>
      </c>
      <c r="H3919" s="2" t="s">
        <v>36</v>
      </c>
      <c r="I3919" s="2" t="s">
        <v>9287</v>
      </c>
      <c r="J3919" s="3" t="str">
        <f>HYPERLINK("https://www.boe.es/gazeta/dias/1818/04/21/pdfs/GMD-1818-48.pdf#page=7","Abrir facsímil")</f>
        <v>Abrir facsímil</v>
      </c>
      <c r="K3919" s="3" t="s">
        <v>38</v>
      </c>
    </row>
    <row r="3920" spans="1:11" ht="42" customHeight="1">
      <c r="A3920" s="2" t="s">
        <v>9285</v>
      </c>
      <c r="B3920" s="2" t="s">
        <v>9286</v>
      </c>
      <c r="C3920" s="2" t="s">
        <v>57</v>
      </c>
      <c r="D3920" s="2" t="s">
        <v>18</v>
      </c>
      <c r="E3920" s="5">
        <v>-29824</v>
      </c>
      <c r="F3920" s="3" t="s">
        <v>101</v>
      </c>
      <c r="G3920" s="3" t="s">
        <v>20</v>
      </c>
      <c r="H3920" s="2" t="s">
        <v>36</v>
      </c>
      <c r="I3920" s="2" t="s">
        <v>9288</v>
      </c>
      <c r="J3920" s="3" t="str">
        <f>HYPERLINK("https://www.boe.es/gazeta/dias/1818/05/05/pdfs/GMD-1818-54.pdf#page=7","Abrir facsímil")</f>
        <v>Abrir facsímil</v>
      </c>
      <c r="K3920" s="3" t="s">
        <v>38</v>
      </c>
    </row>
    <row r="3921" spans="1:11" ht="42" customHeight="1">
      <c r="A3921" s="2" t="s">
        <v>9285</v>
      </c>
      <c r="B3921" s="2" t="s">
        <v>9286</v>
      </c>
      <c r="C3921" s="2" t="s">
        <v>57</v>
      </c>
      <c r="D3921" s="2" t="s">
        <v>18</v>
      </c>
      <c r="E3921" s="5">
        <v>-29789</v>
      </c>
      <c r="F3921" s="3" t="s">
        <v>937</v>
      </c>
      <c r="G3921" s="3" t="s">
        <v>45</v>
      </c>
      <c r="H3921" s="2" t="s">
        <v>36</v>
      </c>
      <c r="I3921" s="2" t="s">
        <v>9289</v>
      </c>
      <c r="J3921" s="3" t="str">
        <f>HYPERLINK("https://www.boe.es/gazeta/dias/1818/06/09/pdfs/GMD-1818-69.pdf#page=8","Abrir facsímil")</f>
        <v>Abrir facsímil</v>
      </c>
      <c r="K3921" s="3" t="s">
        <v>38</v>
      </c>
    </row>
    <row r="3922" spans="1:11" ht="42" customHeight="1">
      <c r="A3922" s="2" t="s">
        <v>9290</v>
      </c>
      <c r="B3922" s="2" t="s">
        <v>9291</v>
      </c>
      <c r="C3922" s="2" t="s">
        <v>26</v>
      </c>
      <c r="D3922" s="2" t="s">
        <v>27</v>
      </c>
      <c r="E3922" s="5">
        <v>-29731</v>
      </c>
      <c r="F3922" s="3" t="s">
        <v>299</v>
      </c>
      <c r="G3922" s="3" t="s">
        <v>45</v>
      </c>
      <c r="H3922" s="2" t="s">
        <v>36</v>
      </c>
      <c r="I3922" s="2" t="s">
        <v>9292</v>
      </c>
      <c r="J3922" s="3" t="str">
        <f>HYPERLINK("https://www.boe.es/gazeta/dias/1818/08/06/pdfs/GMD-1818-94.pdf#page=8","Abrir facsímil")</f>
        <v>Abrir facsímil</v>
      </c>
      <c r="K3922" s="3" t="s">
        <v>38</v>
      </c>
    </row>
    <row r="3923" spans="1:11" ht="42" customHeight="1">
      <c r="A3923" s="2" t="s">
        <v>9293</v>
      </c>
      <c r="B3923" s="2" t="s">
        <v>9294</v>
      </c>
      <c r="C3923" s="2" t="s">
        <v>68</v>
      </c>
      <c r="D3923" s="2" t="s">
        <v>69</v>
      </c>
      <c r="E3923" s="5">
        <v>-29871</v>
      </c>
      <c r="F3923" s="3" t="s">
        <v>641</v>
      </c>
      <c r="G3923" s="3" t="s">
        <v>45</v>
      </c>
      <c r="H3923" s="2" t="s">
        <v>36</v>
      </c>
      <c r="I3923" s="2" t="s">
        <v>9295</v>
      </c>
      <c r="J3923" s="3" t="str">
        <f>HYPERLINK("https://www.boe.es/gazeta/dias/1818/03/19/pdfs/GMD-1818-34.pdf#page=8","Abrir facsímil")</f>
        <v>Abrir facsímil</v>
      </c>
      <c r="K3923" s="3" t="s">
        <v>38</v>
      </c>
    </row>
    <row r="3924" spans="1:11" ht="42" customHeight="1">
      <c r="A3924" s="2" t="s">
        <v>9296</v>
      </c>
      <c r="B3924" s="2" t="s">
        <v>9297</v>
      </c>
      <c r="C3924" s="2" t="s">
        <v>17</v>
      </c>
      <c r="D3924" s="2" t="s">
        <v>18</v>
      </c>
      <c r="E3924" s="5">
        <v>-29635</v>
      </c>
      <c r="F3924" s="3" t="s">
        <v>560</v>
      </c>
      <c r="G3924" s="3" t="s">
        <v>20</v>
      </c>
      <c r="H3924" s="2" t="s">
        <v>36</v>
      </c>
      <c r="I3924" s="2" t="s">
        <v>9298</v>
      </c>
      <c r="J3924" s="3" t="str">
        <f>HYPERLINK("https://www.boe.es/gazeta/dias/1818/11/10/pdfs/GMD-1818-136.pdf#page=7","Abrir facsímil")</f>
        <v>Abrir facsímil</v>
      </c>
      <c r="K3924" s="3" t="s">
        <v>38</v>
      </c>
    </row>
    <row r="3925" spans="1:11" ht="42" customHeight="1">
      <c r="A3925" s="2" t="s">
        <v>9299</v>
      </c>
      <c r="B3925" s="2" t="s">
        <v>9300</v>
      </c>
      <c r="C3925" s="2" t="s">
        <v>26</v>
      </c>
      <c r="D3925" s="2" t="s">
        <v>27</v>
      </c>
      <c r="E3925" s="5">
        <v>-29775</v>
      </c>
      <c r="F3925" s="3" t="s">
        <v>1245</v>
      </c>
      <c r="G3925" s="3" t="s">
        <v>106</v>
      </c>
      <c r="H3925" s="2" t="s">
        <v>21</v>
      </c>
      <c r="I3925" s="2" t="s">
        <v>9301</v>
      </c>
      <c r="J3925" s="3" t="str">
        <f>HYPERLINK("https://www.boe.es/gazeta/dias/1818/06/23/pdfs/GMD-1818-75.pdf#page=5","Abrir facsímil")</f>
        <v>Abrir facsímil</v>
      </c>
      <c r="K3925" s="3" t="s">
        <v>23</v>
      </c>
    </row>
    <row r="3926" spans="1:11" ht="42" customHeight="1">
      <c r="A3926" s="2" t="s">
        <v>9302</v>
      </c>
      <c r="B3926" s="2" t="s">
        <v>9303</v>
      </c>
      <c r="C3926" s="2" t="s">
        <v>17</v>
      </c>
      <c r="D3926" s="2" t="s">
        <v>18</v>
      </c>
      <c r="E3926" s="5">
        <v>-29596</v>
      </c>
      <c r="F3926" s="3" t="s">
        <v>555</v>
      </c>
      <c r="G3926" s="3" t="s">
        <v>45</v>
      </c>
      <c r="H3926" s="2" t="s">
        <v>36</v>
      </c>
      <c r="I3926" s="2" t="s">
        <v>9304</v>
      </c>
      <c r="J3926" s="3" t="str">
        <f>HYPERLINK("https://www.boe.es/gazeta/dias/1818/12/19/pdfs/GMD-1818-153.pdf#page=8","Abrir facsímil")</f>
        <v>Abrir facsímil</v>
      </c>
      <c r="K3926" s="3" t="s">
        <v>38</v>
      </c>
    </row>
    <row r="3927" spans="1:11" ht="42" customHeight="1">
      <c r="A3927" s="2" t="s">
        <v>9305</v>
      </c>
      <c r="B3927" s="2" t="s">
        <v>9306</v>
      </c>
      <c r="C3927" s="2" t="s">
        <v>57</v>
      </c>
      <c r="D3927" s="2" t="s">
        <v>18</v>
      </c>
      <c r="E3927" s="5">
        <v>-29670</v>
      </c>
      <c r="F3927" s="3" t="s">
        <v>48</v>
      </c>
      <c r="G3927" s="3" t="s">
        <v>45</v>
      </c>
      <c r="H3927" s="2" t="s">
        <v>36</v>
      </c>
      <c r="I3927" s="2" t="s">
        <v>9307</v>
      </c>
      <c r="J3927" s="3" t="str">
        <f>HYPERLINK("https://www.boe.es/gazeta/dias/1818/10/06/pdfs/GMD-1818-120.pdf#page=8","Abrir facsímil")</f>
        <v>Abrir facsímil</v>
      </c>
      <c r="K3927" s="3" t="s">
        <v>38</v>
      </c>
    </row>
    <row r="3928" spans="1:11" ht="42" customHeight="1">
      <c r="A3928" s="2" t="s">
        <v>9308</v>
      </c>
      <c r="B3928" s="2" t="s">
        <v>9309</v>
      </c>
      <c r="C3928" s="2" t="s">
        <v>63</v>
      </c>
      <c r="D3928" s="2" t="s">
        <v>18</v>
      </c>
      <c r="E3928" s="5">
        <v>-29607</v>
      </c>
      <c r="F3928" s="3" t="s">
        <v>704</v>
      </c>
      <c r="G3928" s="3" t="s">
        <v>2289</v>
      </c>
      <c r="H3928" s="2" t="s">
        <v>21</v>
      </c>
      <c r="I3928" s="2" t="s">
        <v>9310</v>
      </c>
      <c r="J3928" s="3" t="str">
        <f>HYPERLINK("https://www.boe.es/gazeta/dias/1818/12/08/pdfs/GMD-1818-148.pdf#page=8","Abrir facsímil")</f>
        <v>Abrir facsímil</v>
      </c>
      <c r="K3928" s="3" t="s">
        <v>23</v>
      </c>
    </row>
    <row r="3929" spans="1:11" ht="42" customHeight="1">
      <c r="A3929" s="2" t="s">
        <v>9311</v>
      </c>
      <c r="B3929" s="2" t="s">
        <v>9312</v>
      </c>
      <c r="C3929" s="2" t="s">
        <v>68</v>
      </c>
      <c r="D3929" s="2" t="s">
        <v>69</v>
      </c>
      <c r="E3929" s="5">
        <v>-29607</v>
      </c>
      <c r="F3929" s="3" t="s">
        <v>704</v>
      </c>
      <c r="G3929" s="3" t="s">
        <v>20</v>
      </c>
      <c r="H3929" s="2" t="s">
        <v>36</v>
      </c>
      <c r="I3929" s="2" t="s">
        <v>9313</v>
      </c>
      <c r="J3929" s="3" t="str">
        <f>HYPERLINK("https://www.boe.es/gazeta/dias/1818/12/08/pdfs/GMD-1818-148.pdf#page=7","Abrir facsímil")</f>
        <v>Abrir facsímil</v>
      </c>
      <c r="K3929" s="3" t="s">
        <v>38</v>
      </c>
    </row>
    <row r="3930" spans="1:11" ht="42" customHeight="1">
      <c r="A3930" s="2" t="s">
        <v>9314</v>
      </c>
      <c r="B3930" s="2" t="s">
        <v>9314</v>
      </c>
      <c r="C3930" s="2" t="s">
        <v>26</v>
      </c>
      <c r="D3930" s="2" t="s">
        <v>27</v>
      </c>
      <c r="E3930" s="5">
        <v>-29822</v>
      </c>
      <c r="F3930" s="3" t="s">
        <v>373</v>
      </c>
      <c r="G3930" s="3" t="s">
        <v>120</v>
      </c>
      <c r="H3930" s="2" t="s">
        <v>36</v>
      </c>
      <c r="I3930" s="2" t="s">
        <v>9315</v>
      </c>
      <c r="J3930" s="3" t="str">
        <f>HYPERLINK("https://www.boe.es/gazeta/dias/1818/05/07/pdfs/GMD-1818-55.pdf#page=2","Abrir facsímil")</f>
        <v>Abrir facsímil</v>
      </c>
      <c r="K3930" s="3" t="s">
        <v>38</v>
      </c>
    </row>
    <row r="3931" spans="1:11" ht="42" customHeight="1">
      <c r="A3931" s="2" t="s">
        <v>9316</v>
      </c>
      <c r="B3931" s="2" t="s">
        <v>9317</v>
      </c>
      <c r="C3931" s="2" t="s">
        <v>63</v>
      </c>
      <c r="D3931" s="2" t="s">
        <v>18</v>
      </c>
      <c r="E3931" s="5">
        <v>-29624</v>
      </c>
      <c r="F3931" s="3" t="s">
        <v>131</v>
      </c>
      <c r="G3931" s="3" t="s">
        <v>45</v>
      </c>
      <c r="H3931" s="2" t="s">
        <v>21</v>
      </c>
      <c r="I3931" s="2" t="s">
        <v>9318</v>
      </c>
      <c r="J3931" s="3" t="str">
        <f>HYPERLINK("https://www.boe.es/gazeta/dias/1818/11/21/pdfs/GMD-1818-141.pdf#page=8","Abrir facsímil")</f>
        <v>Abrir facsímil</v>
      </c>
      <c r="K3931" s="3" t="s">
        <v>23</v>
      </c>
    </row>
    <row r="3932" spans="1:11" ht="42" customHeight="1">
      <c r="A3932" s="2" t="s">
        <v>9319</v>
      </c>
      <c r="B3932" s="2" t="s">
        <v>9319</v>
      </c>
      <c r="C3932" s="2" t="s">
        <v>26</v>
      </c>
      <c r="D3932" s="2" t="s">
        <v>27</v>
      </c>
      <c r="E3932" s="5">
        <v>-29920</v>
      </c>
      <c r="F3932" s="3" t="s">
        <v>201</v>
      </c>
      <c r="G3932" s="3" t="s">
        <v>120</v>
      </c>
      <c r="H3932" s="2" t="s">
        <v>36</v>
      </c>
      <c r="I3932" s="2" t="s">
        <v>9320</v>
      </c>
      <c r="J3932" s="3" t="str">
        <f>HYPERLINK("https://www.boe.es/gazeta/dias/1818/01/29/pdfs/GMD-1818-13.pdf#page=2","Abrir facsímil")</f>
        <v>Abrir facsímil</v>
      </c>
      <c r="K3932" s="3" t="s">
        <v>38</v>
      </c>
    </row>
    <row r="3933" spans="1:11" ht="42" customHeight="1">
      <c r="A3933" s="2" t="s">
        <v>9321</v>
      </c>
      <c r="B3933" s="2" t="s">
        <v>9321</v>
      </c>
      <c r="C3933" s="2" t="s">
        <v>97</v>
      </c>
      <c r="D3933" s="2" t="s">
        <v>18</v>
      </c>
      <c r="E3933" s="5">
        <v>-29890</v>
      </c>
      <c r="F3933" s="3" t="s">
        <v>393</v>
      </c>
      <c r="G3933" s="3" t="s">
        <v>85</v>
      </c>
      <c r="H3933" s="2" t="s">
        <v>36</v>
      </c>
      <c r="I3933" s="2" t="s">
        <v>9322</v>
      </c>
      <c r="J3933" s="3" t="str">
        <f>HYPERLINK("https://www.boe.es/gazeta/dias/1818/02/28/pdfs/GMD-1818-26.pdf#page=3","Abrir facsímil")</f>
        <v>Abrir facsímil</v>
      </c>
      <c r="K3933" s="3" t="s">
        <v>38</v>
      </c>
    </row>
    <row r="3934" spans="1:11" ht="42" customHeight="1">
      <c r="A3934" s="2" t="s">
        <v>9323</v>
      </c>
      <c r="B3934" s="2" t="s">
        <v>9323</v>
      </c>
      <c r="C3934" s="2" t="s">
        <v>97</v>
      </c>
      <c r="D3934" s="2" t="s">
        <v>18</v>
      </c>
      <c r="E3934" s="5">
        <v>-29890</v>
      </c>
      <c r="F3934" s="3" t="s">
        <v>393</v>
      </c>
      <c r="G3934" s="3" t="s">
        <v>120</v>
      </c>
      <c r="H3934" s="2" t="s">
        <v>36</v>
      </c>
      <c r="I3934" s="2" t="s">
        <v>9324</v>
      </c>
      <c r="J3934" s="3" t="str">
        <f>HYPERLINK("https://www.boe.es/gazeta/dias/1818/02/28/pdfs/GMD-1818-26.pdf#page=2","Abrir facsímil")</f>
        <v>Abrir facsímil</v>
      </c>
      <c r="K3934" s="3" t="s">
        <v>38</v>
      </c>
    </row>
    <row r="3935" spans="1:11" ht="42" customHeight="1">
      <c r="A3935" s="2" t="s">
        <v>9325</v>
      </c>
      <c r="B3935" s="2" t="s">
        <v>9326</v>
      </c>
      <c r="C3935" s="2" t="s">
        <v>63</v>
      </c>
      <c r="D3935" s="2" t="s">
        <v>18</v>
      </c>
      <c r="E3935" s="5">
        <v>-29621</v>
      </c>
      <c r="F3935" s="3" t="s">
        <v>1561</v>
      </c>
      <c r="G3935" s="3" t="s">
        <v>59</v>
      </c>
      <c r="H3935" s="2" t="s">
        <v>36</v>
      </c>
      <c r="I3935" s="2" t="s">
        <v>9327</v>
      </c>
      <c r="J3935" s="3" t="str">
        <f>HYPERLINK("https://www.boe.es/gazeta/dias/1818/11/24/pdfs/GMD-1818-142.pdf#page=6","Abrir facsímil")</f>
        <v>Abrir facsímil</v>
      </c>
      <c r="K3935" s="3" t="s">
        <v>38</v>
      </c>
    </row>
    <row r="3936" spans="1:11" ht="42" customHeight="1">
      <c r="A3936" s="2" t="s">
        <v>9328</v>
      </c>
      <c r="B3936" s="2" t="s">
        <v>9329</v>
      </c>
      <c r="C3936" s="2" t="s">
        <v>26</v>
      </c>
      <c r="D3936" s="2" t="s">
        <v>27</v>
      </c>
      <c r="E3936" s="5">
        <v>-29787</v>
      </c>
      <c r="F3936" s="3" t="s">
        <v>343</v>
      </c>
      <c r="G3936" s="3" t="s">
        <v>20</v>
      </c>
      <c r="H3936" s="2" t="s">
        <v>36</v>
      </c>
      <c r="I3936" s="2" t="s">
        <v>9330</v>
      </c>
      <c r="J3936" s="3" t="str">
        <f>HYPERLINK("https://www.boe.es/gazeta/dias/1818/06/11/pdfs/GMD-1818-70.pdf#page=7","Abrir facsímil")</f>
        <v>Abrir facsímil</v>
      </c>
      <c r="K3936" s="3" t="s">
        <v>38</v>
      </c>
    </row>
    <row r="3937" spans="1:11" ht="42" customHeight="1">
      <c r="A3937" s="2" t="s">
        <v>9331</v>
      </c>
      <c r="B3937" s="2" t="s">
        <v>9332</v>
      </c>
      <c r="C3937" s="2" t="s">
        <v>17</v>
      </c>
      <c r="D3937" s="2" t="s">
        <v>18</v>
      </c>
      <c r="E3937" s="5">
        <v>-29698</v>
      </c>
      <c r="F3937" s="3" t="s">
        <v>148</v>
      </c>
      <c r="G3937" s="3" t="s">
        <v>29</v>
      </c>
      <c r="H3937" s="2" t="s">
        <v>21</v>
      </c>
      <c r="I3937" s="2" t="s">
        <v>9333</v>
      </c>
      <c r="J3937" s="3" t="str">
        <f>HYPERLINK("https://www.boe.es/gazeta/dias/1818/09/08/pdfs/GMD-1818-108.pdf#page=4","Abrir facsímil")</f>
        <v>Abrir facsímil</v>
      </c>
      <c r="K3937" s="3" t="s">
        <v>23</v>
      </c>
    </row>
    <row r="3938" spans="1:11" ht="42" customHeight="1">
      <c r="A3938" s="2" t="s">
        <v>9334</v>
      </c>
      <c r="B3938" s="2" t="s">
        <v>9335</v>
      </c>
      <c r="C3938" s="2" t="s">
        <v>97</v>
      </c>
      <c r="D3938" s="2" t="s">
        <v>18</v>
      </c>
      <c r="E3938" s="5">
        <v>-29848</v>
      </c>
      <c r="F3938" s="3" t="s">
        <v>571</v>
      </c>
      <c r="G3938" s="3" t="s">
        <v>45</v>
      </c>
      <c r="H3938" s="2" t="s">
        <v>36</v>
      </c>
      <c r="I3938" s="2" t="s">
        <v>9336</v>
      </c>
      <c r="J3938" s="3" t="str">
        <f>HYPERLINK("https://www.boe.es/gazeta/dias/1818/04/11/pdfs/GMD-1818-44.pdf#page=8","Abrir facsímil")</f>
        <v>Abrir facsímil</v>
      </c>
      <c r="K3938" s="3" t="s">
        <v>38</v>
      </c>
    </row>
    <row r="3939" spans="1:11" ht="42" customHeight="1">
      <c r="A3939" s="2" t="s">
        <v>9337</v>
      </c>
      <c r="B3939" s="2" t="s">
        <v>9338</v>
      </c>
      <c r="C3939" s="2" t="s">
        <v>33</v>
      </c>
      <c r="D3939" s="2" t="s">
        <v>18</v>
      </c>
      <c r="E3939" s="5">
        <v>-29675</v>
      </c>
      <c r="F3939" s="3" t="s">
        <v>2314</v>
      </c>
      <c r="G3939" s="3" t="s">
        <v>45</v>
      </c>
      <c r="H3939" s="2" t="s">
        <v>36</v>
      </c>
      <c r="I3939" s="2" t="s">
        <v>9339</v>
      </c>
      <c r="J3939" s="3" t="str">
        <f>HYPERLINK("https://www.boe.es/gazeta/dias/1818/10/01/pdfs/GMD-1818-118.pdf#page=8","Abrir facsímil")</f>
        <v>Abrir facsímil</v>
      </c>
      <c r="K3939" s="3" t="s">
        <v>38</v>
      </c>
    </row>
    <row r="3940" spans="1:11" ht="42" customHeight="1">
      <c r="A3940" s="2" t="s">
        <v>9340</v>
      </c>
      <c r="B3940" s="2" t="s">
        <v>9341</v>
      </c>
      <c r="C3940" s="2" t="s">
        <v>17</v>
      </c>
      <c r="D3940" s="2" t="s">
        <v>18</v>
      </c>
      <c r="E3940" s="5">
        <v>-29666</v>
      </c>
      <c r="F3940" s="3" t="s">
        <v>258</v>
      </c>
      <c r="G3940" s="3" t="s">
        <v>106</v>
      </c>
      <c r="H3940" s="2" t="s">
        <v>36</v>
      </c>
      <c r="I3940" s="2" t="s">
        <v>9342</v>
      </c>
      <c r="J3940" s="3" t="str">
        <f>HYPERLINK("https://www.boe.es/gazeta/dias/1818/10/10/pdfs/GMD-1818-122.pdf#page=5","Abrir facsímil")</f>
        <v>Abrir facsímil</v>
      </c>
      <c r="K3940" s="3" t="s">
        <v>38</v>
      </c>
    </row>
    <row r="3941" spans="1:11" ht="42" customHeight="1">
      <c r="A3941" s="2" t="s">
        <v>9340</v>
      </c>
      <c r="B3941" s="2" t="s">
        <v>9341</v>
      </c>
      <c r="C3941" s="2" t="s">
        <v>26</v>
      </c>
      <c r="D3941" s="2" t="s">
        <v>27</v>
      </c>
      <c r="E3941" s="5">
        <v>-29666</v>
      </c>
      <c r="F3941" s="3" t="s">
        <v>258</v>
      </c>
      <c r="G3941" s="3" t="s">
        <v>59</v>
      </c>
      <c r="H3941" s="2" t="s">
        <v>36</v>
      </c>
      <c r="I3941" s="2" t="s">
        <v>9343</v>
      </c>
      <c r="J3941" s="3" t="str">
        <f>HYPERLINK("https://www.boe.es/gazeta/dias/1818/10/10/pdfs/GMD-1818-122.pdf#page=6","Abrir facsímil")</f>
        <v>Abrir facsímil</v>
      </c>
      <c r="K3941" s="3" t="s">
        <v>38</v>
      </c>
    </row>
    <row r="3942" spans="1:11" ht="42" customHeight="1">
      <c r="A3942" s="2" t="s">
        <v>9344</v>
      </c>
      <c r="B3942" s="2" t="s">
        <v>9345</v>
      </c>
      <c r="C3942" s="2" t="s">
        <v>26</v>
      </c>
      <c r="D3942" s="2" t="s">
        <v>27</v>
      </c>
      <c r="E3942" s="5">
        <v>-29831</v>
      </c>
      <c r="F3942" s="3" t="s">
        <v>567</v>
      </c>
      <c r="G3942" s="3" t="s">
        <v>45</v>
      </c>
      <c r="H3942" s="2" t="s">
        <v>36</v>
      </c>
      <c r="I3942" s="2" t="s">
        <v>9346</v>
      </c>
      <c r="J3942" s="3" t="str">
        <f>HYPERLINK("https://www.boe.es/gazeta/dias/1818/04/28/pdfs/GMD-1818-51.pdf#page=8","Abrir facsímil")</f>
        <v>Abrir facsímil</v>
      </c>
      <c r="K3942" s="3" t="s">
        <v>38</v>
      </c>
    </row>
    <row r="3943" spans="1:11" ht="42" customHeight="1">
      <c r="A3943" s="2" t="s">
        <v>9347</v>
      </c>
      <c r="B3943" s="2" t="s">
        <v>9348</v>
      </c>
      <c r="C3943" s="2" t="s">
        <v>57</v>
      </c>
      <c r="D3943" s="2" t="s">
        <v>18</v>
      </c>
      <c r="E3943" s="5">
        <v>-29824</v>
      </c>
      <c r="F3943" s="3" t="s">
        <v>101</v>
      </c>
      <c r="G3943" s="3" t="s">
        <v>45</v>
      </c>
      <c r="H3943" s="2" t="s">
        <v>36</v>
      </c>
      <c r="I3943" s="2" t="s">
        <v>9349</v>
      </c>
      <c r="J3943" s="3" t="str">
        <f>HYPERLINK("https://www.boe.es/gazeta/dias/1818/05/05/pdfs/GMD-1818-54.pdf#page=8","Abrir facsímil")</f>
        <v>Abrir facsímil</v>
      </c>
      <c r="K3943" s="3" t="s">
        <v>38</v>
      </c>
    </row>
    <row r="3944" spans="1:11" ht="42" customHeight="1">
      <c r="A3944" s="2" t="s">
        <v>9350</v>
      </c>
      <c r="B3944" s="2" t="s">
        <v>9351</v>
      </c>
      <c r="C3944" s="2" t="s">
        <v>97</v>
      </c>
      <c r="D3944" s="2" t="s">
        <v>18</v>
      </c>
      <c r="E3944" s="5">
        <v>-29593</v>
      </c>
      <c r="F3944" s="3" t="s">
        <v>185</v>
      </c>
      <c r="G3944" s="3" t="s">
        <v>45</v>
      </c>
      <c r="H3944" s="2" t="s">
        <v>21</v>
      </c>
      <c r="I3944" s="2" t="s">
        <v>9352</v>
      </c>
      <c r="J3944" s="3" t="str">
        <f>HYPERLINK("https://www.boe.es/gazeta/dias/1818/12/22/pdfs/GMD-1818-154.pdf#page=8","Abrir facsímil")</f>
        <v>Abrir facsímil</v>
      </c>
      <c r="K3944" s="3" t="s">
        <v>23</v>
      </c>
    </row>
    <row r="3945" spans="1:11" ht="42" customHeight="1">
      <c r="A3945" s="2" t="s">
        <v>9353</v>
      </c>
      <c r="B3945" s="2" t="s">
        <v>9354</v>
      </c>
      <c r="C3945" s="2" t="s">
        <v>26</v>
      </c>
      <c r="D3945" s="2" t="s">
        <v>27</v>
      </c>
      <c r="E3945" s="5">
        <v>-29813</v>
      </c>
      <c r="F3945" s="3" t="s">
        <v>839</v>
      </c>
      <c r="G3945" s="3" t="s">
        <v>59</v>
      </c>
      <c r="H3945" s="2" t="s">
        <v>36</v>
      </c>
      <c r="I3945" s="2" t="s">
        <v>9355</v>
      </c>
      <c r="J3945" s="3" t="str">
        <f>HYPERLINK("https://www.boe.es/gazeta/dias/1818/05/16/pdfs/GMD-1818-59.pdf#page=6","Abrir facsímil")</f>
        <v>Abrir facsímil</v>
      </c>
      <c r="K3945" s="3" t="s">
        <v>38</v>
      </c>
    </row>
    <row r="3946" spans="1:11" ht="42" customHeight="1">
      <c r="A3946" s="2" t="s">
        <v>9356</v>
      </c>
      <c r="B3946" s="2" t="s">
        <v>9356</v>
      </c>
      <c r="C3946" s="2" t="s">
        <v>26</v>
      </c>
      <c r="D3946" s="2" t="s">
        <v>27</v>
      </c>
      <c r="E3946" s="5">
        <v>-29943</v>
      </c>
      <c r="F3946" s="3" t="s">
        <v>1837</v>
      </c>
      <c r="G3946" s="3" t="s">
        <v>2094</v>
      </c>
      <c r="H3946" s="2" t="s">
        <v>36</v>
      </c>
      <c r="I3946" s="2" t="s">
        <v>9357</v>
      </c>
      <c r="J3946" s="3" t="str">
        <f>HYPERLINK("https://www.boe.es/gazeta/dias/1818/01/06/pdfs/GMD-1818-3.pdf#page=4","Abrir facsímil")</f>
        <v>Abrir facsímil</v>
      </c>
      <c r="K3946" s="3" t="s">
        <v>38</v>
      </c>
    </row>
    <row r="3947" spans="1:11" ht="42" customHeight="1">
      <c r="A3947" s="2" t="s">
        <v>9358</v>
      </c>
      <c r="B3947" s="2" t="s">
        <v>9358</v>
      </c>
      <c r="C3947" s="2" t="s">
        <v>26</v>
      </c>
      <c r="D3947" s="2" t="s">
        <v>27</v>
      </c>
      <c r="E3947" s="5">
        <v>-29820</v>
      </c>
      <c r="F3947" s="3" t="s">
        <v>2971</v>
      </c>
      <c r="G3947" s="3" t="s">
        <v>120</v>
      </c>
      <c r="H3947" s="2" t="s">
        <v>36</v>
      </c>
      <c r="I3947" s="2" t="s">
        <v>9359</v>
      </c>
      <c r="J3947" s="3" t="str">
        <f>HYPERLINK("https://www.boe.es/gazeta/dias/1818/05/09/pdfs/GMD-1818-56.pdf#page=2","Abrir facsímil")</f>
        <v>Abrir facsímil</v>
      </c>
      <c r="K3947" s="3" t="s">
        <v>38</v>
      </c>
    </row>
    <row r="3948" spans="1:11" ht="42" customHeight="1">
      <c r="A3948" s="2" t="s">
        <v>9360</v>
      </c>
      <c r="B3948" s="2" t="s">
        <v>9360</v>
      </c>
      <c r="C3948" s="2" t="s">
        <v>68</v>
      </c>
      <c r="D3948" s="2" t="s">
        <v>69</v>
      </c>
      <c r="E3948" s="5">
        <v>-29855</v>
      </c>
      <c r="F3948" s="3" t="s">
        <v>676</v>
      </c>
      <c r="G3948" s="3" t="s">
        <v>120</v>
      </c>
      <c r="H3948" s="2" t="s">
        <v>36</v>
      </c>
      <c r="I3948" s="2" t="s">
        <v>9361</v>
      </c>
      <c r="J3948" s="3" t="str">
        <f>HYPERLINK("https://www.boe.es/gazeta/dias/1818/04/04/pdfs/GMD-1818-41.pdf#page=2","Abrir facsímil")</f>
        <v>Abrir facsímil</v>
      </c>
      <c r="K3948" s="3" t="s">
        <v>38</v>
      </c>
    </row>
    <row r="3949" spans="1:11" ht="42" customHeight="1">
      <c r="A3949" s="2" t="s">
        <v>9362</v>
      </c>
      <c r="B3949" s="2" t="s">
        <v>9363</v>
      </c>
      <c r="C3949" s="2" t="s">
        <v>68</v>
      </c>
      <c r="D3949" s="2" t="s">
        <v>69</v>
      </c>
      <c r="E3949" s="5">
        <v>-29936</v>
      </c>
      <c r="F3949" s="3" t="s">
        <v>398</v>
      </c>
      <c r="G3949" s="3" t="s">
        <v>20</v>
      </c>
      <c r="H3949" s="2" t="s">
        <v>36</v>
      </c>
      <c r="I3949" s="2" t="s">
        <v>9364</v>
      </c>
      <c r="J3949" s="3" t="str">
        <f>HYPERLINK("https://www.boe.es/gazeta/dias/1818/01/13/pdfs/GMD-1818-6.pdf#page=7","Abrir facsímil")</f>
        <v>Abrir facsímil</v>
      </c>
      <c r="K3949" s="3" t="s">
        <v>38</v>
      </c>
    </row>
    <row r="3950" spans="1:11" ht="42" customHeight="1">
      <c r="A3950" s="2" t="s">
        <v>9365</v>
      </c>
      <c r="B3950" s="2" t="s">
        <v>9366</v>
      </c>
      <c r="C3950" s="2" t="s">
        <v>63</v>
      </c>
      <c r="D3950" s="2" t="s">
        <v>18</v>
      </c>
      <c r="E3950" s="5">
        <v>-29614</v>
      </c>
      <c r="F3950" s="3" t="s">
        <v>620</v>
      </c>
      <c r="G3950" s="3" t="s">
        <v>45</v>
      </c>
      <c r="H3950" s="2" t="s">
        <v>36</v>
      </c>
      <c r="I3950" s="2" t="s">
        <v>9367</v>
      </c>
      <c r="J3950" s="3" t="str">
        <f>HYPERLINK("https://www.boe.es/gazeta/dias/1818/12/01/pdfs/GMD-1818-145.pdf#page=8","Abrir facsímil")</f>
        <v>Abrir facsímil</v>
      </c>
      <c r="K3950" s="3" t="s">
        <v>38</v>
      </c>
    </row>
    <row r="3951" spans="1:11" ht="42" customHeight="1">
      <c r="A3951" s="2" t="s">
        <v>9368</v>
      </c>
      <c r="B3951" s="2" t="s">
        <v>9369</v>
      </c>
      <c r="C3951" s="2" t="s">
        <v>68</v>
      </c>
      <c r="D3951" s="2" t="s">
        <v>69</v>
      </c>
      <c r="E3951" s="5">
        <v>-29857</v>
      </c>
      <c r="F3951" s="3" t="s">
        <v>831</v>
      </c>
      <c r="G3951" s="3" t="s">
        <v>20</v>
      </c>
      <c r="H3951" s="2" t="s">
        <v>36</v>
      </c>
      <c r="I3951" s="2" t="s">
        <v>9370</v>
      </c>
      <c r="J3951" s="3" t="str">
        <f>HYPERLINK("https://www.boe.es/gazeta/dias/1818/04/02/pdfs/GMD-1818-40.pdf#page=7","Abrir facsímil")</f>
        <v>Abrir facsímil</v>
      </c>
      <c r="K3951" s="3" t="s">
        <v>38</v>
      </c>
    </row>
    <row r="3952" spans="1:11" ht="42" customHeight="1">
      <c r="A3952" s="2" t="s">
        <v>9371</v>
      </c>
      <c r="B3952" s="2" t="s">
        <v>9372</v>
      </c>
      <c r="C3952" s="2" t="s">
        <v>68</v>
      </c>
      <c r="D3952" s="2" t="s">
        <v>69</v>
      </c>
      <c r="E3952" s="5">
        <v>-29750</v>
      </c>
      <c r="F3952" s="3" t="s">
        <v>384</v>
      </c>
      <c r="G3952" s="3" t="s">
        <v>116</v>
      </c>
      <c r="H3952" s="2" t="s">
        <v>36</v>
      </c>
      <c r="I3952" s="2" t="s">
        <v>9373</v>
      </c>
      <c r="J3952" s="3" t="str">
        <f>HYPERLINK("https://www.boe.es/gazeta/dias/1818/07/18/pdfs/GMD-1818-86.pdf#page=12","Abrir facsímil")</f>
        <v>Abrir facsímil</v>
      </c>
      <c r="K3952" s="3" t="s">
        <v>38</v>
      </c>
    </row>
    <row r="3953" spans="1:11" ht="42" customHeight="1">
      <c r="A3953" s="2" t="s">
        <v>9374</v>
      </c>
      <c r="B3953" s="2" t="s">
        <v>9375</v>
      </c>
      <c r="C3953" s="2" t="s">
        <v>26</v>
      </c>
      <c r="D3953" s="2" t="s">
        <v>27</v>
      </c>
      <c r="E3953" s="5">
        <v>-29831</v>
      </c>
      <c r="F3953" s="3" t="s">
        <v>567</v>
      </c>
      <c r="G3953" s="3" t="s">
        <v>45</v>
      </c>
      <c r="H3953" s="2" t="s">
        <v>36</v>
      </c>
      <c r="I3953" s="2" t="s">
        <v>9376</v>
      </c>
      <c r="J3953" s="3" t="str">
        <f>HYPERLINK("https://www.boe.es/gazeta/dias/1818/04/28/pdfs/GMD-1818-51.pdf#page=8","Abrir facsímil")</f>
        <v>Abrir facsímil</v>
      </c>
      <c r="K3953" s="3" t="s">
        <v>38</v>
      </c>
    </row>
    <row r="3954" spans="1:11" ht="42" customHeight="1">
      <c r="A3954" s="2" t="s">
        <v>9377</v>
      </c>
      <c r="B3954" s="2" t="s">
        <v>9378</v>
      </c>
      <c r="C3954" s="2" t="s">
        <v>17</v>
      </c>
      <c r="D3954" s="2" t="s">
        <v>18</v>
      </c>
      <c r="E3954" s="5">
        <v>-29934</v>
      </c>
      <c r="F3954" s="3" t="s">
        <v>53</v>
      </c>
      <c r="G3954" s="3" t="s">
        <v>20</v>
      </c>
      <c r="H3954" s="2" t="s">
        <v>36</v>
      </c>
      <c r="I3954" s="2" t="s">
        <v>9379</v>
      </c>
      <c r="J3954" s="3" t="str">
        <f>HYPERLINK("https://www.boe.es/gazeta/dias/1818/01/15/pdfs/GMD-1818-7.pdf#page=7","Abrir facsímil")</f>
        <v>Abrir facsímil</v>
      </c>
      <c r="K3954" s="3" t="s">
        <v>38</v>
      </c>
    </row>
    <row r="3955" spans="1:11" ht="42" customHeight="1">
      <c r="A3955" s="2" t="s">
        <v>9380</v>
      </c>
      <c r="B3955" s="2" t="s">
        <v>9381</v>
      </c>
      <c r="C3955" s="2" t="s">
        <v>26</v>
      </c>
      <c r="D3955" s="2" t="s">
        <v>27</v>
      </c>
      <c r="E3955" s="5">
        <v>-29684</v>
      </c>
      <c r="F3955" s="3" t="s">
        <v>311</v>
      </c>
      <c r="G3955" s="3" t="s">
        <v>20</v>
      </c>
      <c r="H3955" s="2" t="s">
        <v>36</v>
      </c>
      <c r="I3955" s="2" t="s">
        <v>9382</v>
      </c>
      <c r="J3955" s="3" t="str">
        <f>HYPERLINK("https://www.boe.es/gazeta/dias/1818/09/22/pdfs/GMD-1818-114.pdf#page=7","Abrir facsímil")</f>
        <v>Abrir facsímil</v>
      </c>
      <c r="K3955" s="3" t="s">
        <v>38</v>
      </c>
    </row>
    <row r="3956" spans="1:11" ht="42" customHeight="1">
      <c r="A3956" s="2" t="s">
        <v>9383</v>
      </c>
      <c r="B3956" s="2" t="s">
        <v>9384</v>
      </c>
      <c r="C3956" s="2" t="s">
        <v>17</v>
      </c>
      <c r="D3956" s="2" t="s">
        <v>18</v>
      </c>
      <c r="E3956" s="5">
        <v>-29859</v>
      </c>
      <c r="F3956" s="3" t="s">
        <v>3456</v>
      </c>
      <c r="G3956" s="3" t="s">
        <v>4590</v>
      </c>
      <c r="H3956" s="2" t="s">
        <v>36</v>
      </c>
      <c r="I3956" s="2" t="s">
        <v>9385</v>
      </c>
      <c r="J3956" s="3" t="str">
        <f>HYPERLINK("https://www.boe.es/gazeta/dias/1818/03/31/pdfs/GMD-1818-39.pdf#page=3","Abrir facsímil")</f>
        <v>Abrir facsímil</v>
      </c>
      <c r="K3956" s="3" t="s">
        <v>38</v>
      </c>
    </row>
    <row r="3957" spans="1:11" ht="42" customHeight="1">
      <c r="A3957" s="2" t="s">
        <v>9383</v>
      </c>
      <c r="B3957" s="2" t="s">
        <v>9384</v>
      </c>
      <c r="C3957" s="2" t="s">
        <v>17</v>
      </c>
      <c r="D3957" s="2" t="s">
        <v>18</v>
      </c>
      <c r="E3957" s="5">
        <v>-29822</v>
      </c>
      <c r="F3957" s="3" t="s">
        <v>373</v>
      </c>
      <c r="G3957" s="3" t="s">
        <v>106</v>
      </c>
      <c r="H3957" s="2" t="s">
        <v>36</v>
      </c>
      <c r="I3957" s="2" t="s">
        <v>9386</v>
      </c>
      <c r="J3957" s="3" t="str">
        <f>HYPERLINK("https://www.boe.es/gazeta/dias/1818/05/07/pdfs/GMD-1818-55.pdf#page=5","Abrir facsímil")</f>
        <v>Abrir facsímil</v>
      </c>
      <c r="K3957" s="3" t="s">
        <v>38</v>
      </c>
    </row>
    <row r="3958" spans="1:11" ht="42" customHeight="1">
      <c r="A3958" s="2" t="s">
        <v>9383</v>
      </c>
      <c r="B3958" s="2" t="s">
        <v>9384</v>
      </c>
      <c r="C3958" s="2" t="s">
        <v>68</v>
      </c>
      <c r="D3958" s="2" t="s">
        <v>69</v>
      </c>
      <c r="E3958" s="5">
        <v>-29817</v>
      </c>
      <c r="F3958" s="3" t="s">
        <v>284</v>
      </c>
      <c r="G3958" s="3" t="s">
        <v>85</v>
      </c>
      <c r="H3958" s="2" t="s">
        <v>36</v>
      </c>
      <c r="I3958" s="2" t="s">
        <v>9387</v>
      </c>
      <c r="J3958" s="3" t="str">
        <f>HYPERLINK("https://www.boe.es/gazeta/dias/1818/05/12/pdfs/GMD-1818-57.pdf#page=3","Abrir facsímil")</f>
        <v>Abrir facsímil</v>
      </c>
      <c r="K3958" s="3" t="s">
        <v>38</v>
      </c>
    </row>
    <row r="3959" spans="1:11" ht="42" customHeight="1">
      <c r="A3959" s="2" t="s">
        <v>9383</v>
      </c>
      <c r="B3959" s="2" t="s">
        <v>9384</v>
      </c>
      <c r="C3959" s="2" t="s">
        <v>17</v>
      </c>
      <c r="D3959" s="2" t="s">
        <v>18</v>
      </c>
      <c r="E3959" s="5">
        <v>-29787</v>
      </c>
      <c r="F3959" s="3" t="s">
        <v>343</v>
      </c>
      <c r="G3959" s="3" t="s">
        <v>106</v>
      </c>
      <c r="H3959" s="2" t="s">
        <v>36</v>
      </c>
      <c r="I3959" s="2" t="s">
        <v>9388</v>
      </c>
      <c r="J3959" s="3" t="str">
        <f>HYPERLINK("https://www.boe.es/gazeta/dias/1818/06/11/pdfs/GMD-1818-70.pdf#page=5","Abrir facsímil")</f>
        <v>Abrir facsímil</v>
      </c>
      <c r="K3959" s="3" t="s">
        <v>38</v>
      </c>
    </row>
    <row r="3960" spans="1:11" ht="42" customHeight="1">
      <c r="A3960" s="2" t="s">
        <v>9383</v>
      </c>
      <c r="B3960" s="2" t="s">
        <v>9384</v>
      </c>
      <c r="C3960" s="2" t="s">
        <v>17</v>
      </c>
      <c r="D3960" s="2" t="s">
        <v>18</v>
      </c>
      <c r="E3960" s="5">
        <v>-29733</v>
      </c>
      <c r="F3960" s="3" t="s">
        <v>482</v>
      </c>
      <c r="G3960" s="3" t="s">
        <v>111</v>
      </c>
      <c r="H3960" s="2" t="s">
        <v>36</v>
      </c>
      <c r="I3960" s="2" t="s">
        <v>9389</v>
      </c>
      <c r="J3960" s="3" t="str">
        <f>HYPERLINK("https://www.boe.es/gazeta/dias/1818/08/04/pdfs/GMD-1818-93.pdf#page=11","Abrir facsímil")</f>
        <v>Abrir facsímil</v>
      </c>
      <c r="K3960" s="3" t="s">
        <v>38</v>
      </c>
    </row>
    <row r="3961" spans="1:11" ht="42" customHeight="1">
      <c r="A3961" s="2" t="s">
        <v>9383</v>
      </c>
      <c r="B3961" s="2" t="s">
        <v>9384</v>
      </c>
      <c r="C3961" s="2" t="s">
        <v>17</v>
      </c>
      <c r="D3961" s="2" t="s">
        <v>18</v>
      </c>
      <c r="E3961" s="5">
        <v>-29712</v>
      </c>
      <c r="F3961" s="3" t="s">
        <v>1309</v>
      </c>
      <c r="G3961" s="3" t="s">
        <v>9390</v>
      </c>
      <c r="H3961" s="2" t="s">
        <v>36</v>
      </c>
      <c r="I3961" s="2" t="s">
        <v>9391</v>
      </c>
      <c r="J3961" s="3" t="str">
        <f>HYPERLINK("https://www.boe.es/gazeta/dias/1818/08/25/pdfs/GMD-1818-102.pdf#page=6","Abrir facsímil")</f>
        <v>Abrir facsímil</v>
      </c>
      <c r="K3961" s="3" t="s">
        <v>38</v>
      </c>
    </row>
    <row r="3962" spans="1:11" ht="42" customHeight="1">
      <c r="A3962" s="2" t="s">
        <v>9392</v>
      </c>
      <c r="B3962" s="2" t="s">
        <v>9393</v>
      </c>
      <c r="C3962" s="2" t="s">
        <v>26</v>
      </c>
      <c r="D3962" s="2" t="s">
        <v>27</v>
      </c>
      <c r="E3962" s="5">
        <v>-29642</v>
      </c>
      <c r="F3962" s="3" t="s">
        <v>248</v>
      </c>
      <c r="G3962" s="3" t="s">
        <v>59</v>
      </c>
      <c r="H3962" s="2" t="s">
        <v>36</v>
      </c>
      <c r="I3962" s="2" t="s">
        <v>9394</v>
      </c>
      <c r="J3962" s="3" t="str">
        <f>HYPERLINK("https://www.boe.es/gazeta/dias/1818/11/03/pdfs/GMD-1818-133.pdf#page=6","Abrir facsímil")</f>
        <v>Abrir facsímil</v>
      </c>
      <c r="K3962" s="3" t="s">
        <v>38</v>
      </c>
    </row>
    <row r="3963" spans="1:11" ht="42" customHeight="1">
      <c r="A3963" s="2" t="s">
        <v>9395</v>
      </c>
      <c r="B3963" s="2" t="s">
        <v>9396</v>
      </c>
      <c r="C3963" s="2" t="s">
        <v>26</v>
      </c>
      <c r="D3963" s="2" t="s">
        <v>27</v>
      </c>
      <c r="E3963" s="5">
        <v>-29722</v>
      </c>
      <c r="F3963" s="3" t="s">
        <v>1127</v>
      </c>
      <c r="G3963" s="3" t="s">
        <v>106</v>
      </c>
      <c r="H3963" s="2" t="s">
        <v>36</v>
      </c>
      <c r="I3963" s="2" t="s">
        <v>9397</v>
      </c>
      <c r="J3963" s="3" t="str">
        <f>HYPERLINK("https://www.boe.es/gazeta/dias/1818/08/15/pdfs/GMD-1818-98.pdf#page=5","Abrir facsímil")</f>
        <v>Abrir facsímil</v>
      </c>
      <c r="K3963" s="3" t="s">
        <v>38</v>
      </c>
    </row>
    <row r="3964" spans="1:11" ht="42" customHeight="1">
      <c r="A3964" s="2" t="s">
        <v>9398</v>
      </c>
      <c r="B3964" s="2" t="s">
        <v>9399</v>
      </c>
      <c r="C3964" s="2" t="s">
        <v>26</v>
      </c>
      <c r="D3964" s="2" t="s">
        <v>27</v>
      </c>
      <c r="E3964" s="5">
        <v>-29677</v>
      </c>
      <c r="F3964" s="3" t="s">
        <v>157</v>
      </c>
      <c r="G3964" s="3" t="s">
        <v>20</v>
      </c>
      <c r="H3964" s="2" t="s">
        <v>36</v>
      </c>
      <c r="I3964" s="2" t="s">
        <v>9400</v>
      </c>
      <c r="J3964" s="3" t="str">
        <f>HYPERLINK("https://www.boe.es/gazeta/dias/1818/09/29/pdfs/GMD-1818-117.pdf#page=7","Abrir facsímil")</f>
        <v>Abrir facsímil</v>
      </c>
      <c r="K3964" s="3" t="s">
        <v>38</v>
      </c>
    </row>
    <row r="3965" spans="1:11" ht="42" customHeight="1">
      <c r="A3965" s="2" t="s">
        <v>9401</v>
      </c>
      <c r="B3965" s="2" t="s">
        <v>9402</v>
      </c>
      <c r="C3965" s="2" t="s">
        <v>17</v>
      </c>
      <c r="D3965" s="2" t="s">
        <v>18</v>
      </c>
      <c r="E3965" s="5">
        <v>-29913</v>
      </c>
      <c r="F3965" s="3" t="s">
        <v>449</v>
      </c>
      <c r="G3965" s="3" t="s">
        <v>20</v>
      </c>
      <c r="H3965" s="2" t="s">
        <v>36</v>
      </c>
      <c r="I3965" s="2" t="s">
        <v>9403</v>
      </c>
      <c r="J3965" s="3" t="str">
        <f>HYPERLINK("https://www.boe.es/gazeta/dias/1818/02/05/pdfs/GMD-1818-16.pdf#page=7","Abrir facsímil")</f>
        <v>Abrir facsímil</v>
      </c>
      <c r="K3965" s="3" t="s">
        <v>38</v>
      </c>
    </row>
    <row r="3966" spans="1:11" ht="42" customHeight="1">
      <c r="A3966" s="2" t="s">
        <v>9404</v>
      </c>
      <c r="B3966" s="2" t="s">
        <v>9405</v>
      </c>
      <c r="C3966" s="2" t="s">
        <v>26</v>
      </c>
      <c r="D3966" s="2" t="s">
        <v>27</v>
      </c>
      <c r="E3966" s="5">
        <v>-29810</v>
      </c>
      <c r="F3966" s="3" t="s">
        <v>222</v>
      </c>
      <c r="G3966" s="3" t="s">
        <v>45</v>
      </c>
      <c r="H3966" s="2" t="s">
        <v>36</v>
      </c>
      <c r="I3966" s="2" t="s">
        <v>9406</v>
      </c>
      <c r="J3966" s="3" t="str">
        <f>HYPERLINK("https://www.boe.es/gazeta/dias/1818/05/19/pdfs/GMD-1818-60.pdf#page=8","Abrir facsímil")</f>
        <v>Abrir facsímil</v>
      </c>
      <c r="K3966" s="3" t="s">
        <v>38</v>
      </c>
    </row>
    <row r="3967" spans="1:11" ht="42" customHeight="1">
      <c r="A3967" s="2" t="s">
        <v>9404</v>
      </c>
      <c r="B3967" s="2" t="s">
        <v>9405</v>
      </c>
      <c r="C3967" s="2" t="s">
        <v>68</v>
      </c>
      <c r="D3967" s="2" t="s">
        <v>69</v>
      </c>
      <c r="E3967" s="5">
        <v>-29789</v>
      </c>
      <c r="F3967" s="3" t="s">
        <v>937</v>
      </c>
      <c r="G3967" s="3" t="s">
        <v>45</v>
      </c>
      <c r="H3967" s="2" t="s">
        <v>36</v>
      </c>
      <c r="I3967" s="2" t="s">
        <v>9407</v>
      </c>
      <c r="J3967" s="3" t="str">
        <f>HYPERLINK("https://www.boe.es/gazeta/dias/1818/06/09/pdfs/GMD-1818-69.pdf#page=8","Abrir facsímil")</f>
        <v>Abrir facsímil</v>
      </c>
      <c r="K3967" s="3" t="s">
        <v>38</v>
      </c>
    </row>
    <row r="3968" spans="1:11" ht="42" customHeight="1">
      <c r="A3968" s="2" t="s">
        <v>9404</v>
      </c>
      <c r="B3968" s="2" t="s">
        <v>9405</v>
      </c>
      <c r="C3968" s="2" t="s">
        <v>68</v>
      </c>
      <c r="D3968" s="2" t="s">
        <v>69</v>
      </c>
      <c r="E3968" s="5">
        <v>-29745</v>
      </c>
      <c r="F3968" s="3" t="s">
        <v>409</v>
      </c>
      <c r="G3968" s="3" t="s">
        <v>20</v>
      </c>
      <c r="H3968" s="2" t="s">
        <v>36</v>
      </c>
      <c r="I3968" s="2" t="s">
        <v>9408</v>
      </c>
      <c r="J3968" s="3" t="str">
        <f>HYPERLINK("https://www.boe.es/gazeta/dias/1818/07/23/pdfs/GMD-1818-88.pdf#page=7","Abrir facsímil")</f>
        <v>Abrir facsímil</v>
      </c>
      <c r="K3968" s="3" t="s">
        <v>38</v>
      </c>
    </row>
    <row r="3969" spans="1:11" ht="42" customHeight="1">
      <c r="A3969" s="2" t="s">
        <v>9409</v>
      </c>
      <c r="B3969" s="2" t="s">
        <v>9410</v>
      </c>
      <c r="C3969" s="2" t="s">
        <v>17</v>
      </c>
      <c r="D3969" s="2" t="s">
        <v>18</v>
      </c>
      <c r="E3969" s="5">
        <v>-29684</v>
      </c>
      <c r="F3969" s="3" t="s">
        <v>311</v>
      </c>
      <c r="G3969" s="3" t="s">
        <v>45</v>
      </c>
      <c r="H3969" s="2" t="s">
        <v>36</v>
      </c>
      <c r="I3969" s="2" t="s">
        <v>9411</v>
      </c>
      <c r="J3969" s="3" t="str">
        <f>HYPERLINK("https://www.boe.es/gazeta/dias/1818/09/22/pdfs/GMD-1818-114.pdf#page=8","Abrir facsímil")</f>
        <v>Abrir facsímil</v>
      </c>
      <c r="K3969" s="3" t="s">
        <v>38</v>
      </c>
    </row>
    <row r="3970" spans="1:11" ht="42" customHeight="1">
      <c r="A3970" s="2" t="s">
        <v>9412</v>
      </c>
      <c r="B3970" s="2" t="s">
        <v>9413</v>
      </c>
      <c r="C3970" s="2" t="s">
        <v>26</v>
      </c>
      <c r="D3970" s="2" t="s">
        <v>27</v>
      </c>
      <c r="E3970" s="5">
        <v>-29848</v>
      </c>
      <c r="F3970" s="3" t="s">
        <v>571</v>
      </c>
      <c r="G3970" s="3" t="s">
        <v>20</v>
      </c>
      <c r="H3970" s="2" t="s">
        <v>36</v>
      </c>
      <c r="I3970" s="2" t="s">
        <v>9414</v>
      </c>
      <c r="J3970" s="3" t="str">
        <f>HYPERLINK("https://www.boe.es/gazeta/dias/1818/04/11/pdfs/GMD-1818-44.pdf#page=7","Abrir facsímil")</f>
        <v>Abrir facsímil</v>
      </c>
      <c r="K3970" s="3" t="s">
        <v>38</v>
      </c>
    </row>
    <row r="3971" spans="1:11" ht="42" customHeight="1">
      <c r="A3971" s="2" t="s">
        <v>9415</v>
      </c>
      <c r="B3971" s="2" t="s">
        <v>9416</v>
      </c>
      <c r="C3971" s="2" t="s">
        <v>17</v>
      </c>
      <c r="D3971" s="2" t="s">
        <v>18</v>
      </c>
      <c r="E3971" s="5">
        <v>-29920</v>
      </c>
      <c r="F3971" s="3" t="s">
        <v>201</v>
      </c>
      <c r="G3971" s="3" t="s">
        <v>111</v>
      </c>
      <c r="H3971" s="2" t="s">
        <v>36</v>
      </c>
      <c r="I3971" s="2" t="s">
        <v>9417</v>
      </c>
      <c r="J3971" s="3" t="str">
        <f>HYPERLINK("https://www.boe.es/gazeta/dias/1818/01/29/pdfs/GMD-1818-13.pdf#page=11","Abrir facsímil")</f>
        <v>Abrir facsímil</v>
      </c>
      <c r="K3971" s="3" t="s">
        <v>38</v>
      </c>
    </row>
    <row r="3972" spans="1:11" ht="42" customHeight="1">
      <c r="A3972" s="2" t="s">
        <v>9418</v>
      </c>
      <c r="B3972" s="2" t="s">
        <v>9419</v>
      </c>
      <c r="C3972" s="2" t="s">
        <v>17</v>
      </c>
      <c r="D3972" s="2" t="s">
        <v>18</v>
      </c>
      <c r="E3972" s="5">
        <v>-29626</v>
      </c>
      <c r="F3972" s="3" t="s">
        <v>496</v>
      </c>
      <c r="G3972" s="3" t="s">
        <v>551</v>
      </c>
      <c r="H3972" s="2" t="s">
        <v>36</v>
      </c>
      <c r="I3972" s="2" t="s">
        <v>9420</v>
      </c>
      <c r="J3972" s="3" t="str">
        <f>HYPERLINK("https://www.boe.es/gazeta/dias/1818/11/19/pdfs/GMD-1818-140.pdf#page=5","Abrir facsímil")</f>
        <v>Abrir facsímil</v>
      </c>
      <c r="K3972" s="3" t="s">
        <v>38</v>
      </c>
    </row>
    <row r="3973" spans="1:11" ht="42" customHeight="1">
      <c r="A3973" s="2" t="s">
        <v>9421</v>
      </c>
      <c r="B3973" s="2" t="s">
        <v>9422</v>
      </c>
      <c r="C3973" s="2" t="s">
        <v>26</v>
      </c>
      <c r="D3973" s="2" t="s">
        <v>27</v>
      </c>
      <c r="E3973" s="5">
        <v>-29719</v>
      </c>
      <c r="F3973" s="3" t="s">
        <v>243</v>
      </c>
      <c r="G3973" s="3" t="s">
        <v>59</v>
      </c>
      <c r="H3973" s="2" t="s">
        <v>36</v>
      </c>
      <c r="I3973" s="2" t="s">
        <v>9423</v>
      </c>
      <c r="J3973" s="3" t="str">
        <f>HYPERLINK("https://www.boe.es/gazeta/dias/1818/08/18/pdfs/GMD-1818-99.pdf#page=6","Abrir facsímil")</f>
        <v>Abrir facsímil</v>
      </c>
      <c r="K3973" s="3" t="s">
        <v>38</v>
      </c>
    </row>
    <row r="3974" spans="1:11" ht="42" customHeight="1">
      <c r="A3974" s="2" t="s">
        <v>9424</v>
      </c>
      <c r="B3974" s="2" t="s">
        <v>9425</v>
      </c>
      <c r="C3974" s="2" t="s">
        <v>17</v>
      </c>
      <c r="D3974" s="2" t="s">
        <v>18</v>
      </c>
      <c r="E3974" s="5">
        <v>-29698</v>
      </c>
      <c r="F3974" s="3" t="s">
        <v>148</v>
      </c>
      <c r="G3974" s="3" t="s">
        <v>29</v>
      </c>
      <c r="H3974" s="2" t="s">
        <v>36</v>
      </c>
      <c r="I3974" s="2" t="s">
        <v>9426</v>
      </c>
      <c r="J3974" s="3" t="str">
        <f>HYPERLINK("https://www.boe.es/gazeta/dias/1818/09/08/pdfs/GMD-1818-108.pdf#page=4","Abrir facsímil")</f>
        <v>Abrir facsímil</v>
      </c>
      <c r="K3974" s="3" t="s">
        <v>38</v>
      </c>
    </row>
    <row r="3975" spans="1:11" ht="42" customHeight="1">
      <c r="A3975" s="2" t="s">
        <v>9427</v>
      </c>
      <c r="B3975" s="2" t="s">
        <v>9428</v>
      </c>
      <c r="C3975" s="2" t="s">
        <v>33</v>
      </c>
      <c r="D3975" s="2" t="s">
        <v>18</v>
      </c>
      <c r="E3975" s="5">
        <v>-29698</v>
      </c>
      <c r="F3975" s="3" t="s">
        <v>148</v>
      </c>
      <c r="G3975" s="3" t="s">
        <v>106</v>
      </c>
      <c r="H3975" s="2" t="s">
        <v>36</v>
      </c>
      <c r="I3975" s="2" t="s">
        <v>9429</v>
      </c>
      <c r="J3975" s="3" t="str">
        <f>HYPERLINK("https://www.boe.es/gazeta/dias/1818/09/08/pdfs/GMD-1818-108.pdf#page=5","Abrir facsímil")</f>
        <v>Abrir facsímil</v>
      </c>
      <c r="K3975" s="3" t="s">
        <v>38</v>
      </c>
    </row>
    <row r="3976" spans="1:11" ht="42" customHeight="1">
      <c r="A3976" s="2" t="s">
        <v>9430</v>
      </c>
      <c r="B3976" s="2" t="s">
        <v>9431</v>
      </c>
      <c r="C3976" s="2" t="s">
        <v>17</v>
      </c>
      <c r="D3976" s="2" t="s">
        <v>18</v>
      </c>
      <c r="E3976" s="5">
        <v>-29698</v>
      </c>
      <c r="F3976" s="3" t="s">
        <v>148</v>
      </c>
      <c r="G3976" s="3" t="s">
        <v>29</v>
      </c>
      <c r="H3976" s="2" t="s">
        <v>36</v>
      </c>
      <c r="I3976" s="2" t="s">
        <v>9432</v>
      </c>
      <c r="J3976" s="3" t="str">
        <f>HYPERLINK("https://www.boe.es/gazeta/dias/1818/09/08/pdfs/GMD-1818-108.pdf#page=4","Abrir facsímil")</f>
        <v>Abrir facsímil</v>
      </c>
      <c r="K3976" s="3" t="s">
        <v>38</v>
      </c>
    </row>
    <row r="3977" spans="1:11" ht="42" customHeight="1">
      <c r="A3977" s="2" t="s">
        <v>9433</v>
      </c>
      <c r="B3977" s="2" t="s">
        <v>9434</v>
      </c>
      <c r="C3977" s="2" t="s">
        <v>26</v>
      </c>
      <c r="D3977" s="2" t="s">
        <v>27</v>
      </c>
      <c r="E3977" s="5">
        <v>-29626</v>
      </c>
      <c r="F3977" s="3" t="s">
        <v>496</v>
      </c>
      <c r="G3977" s="3" t="s">
        <v>59</v>
      </c>
      <c r="H3977" s="2" t="s">
        <v>36</v>
      </c>
      <c r="I3977" s="2" t="s">
        <v>9435</v>
      </c>
      <c r="J3977" s="3" t="str">
        <f>HYPERLINK("https://www.boe.es/gazeta/dias/1818/11/19/pdfs/GMD-1818-140.pdf#page=6","Abrir facsímil")</f>
        <v>Abrir facsímil</v>
      </c>
      <c r="K3977" s="3" t="s">
        <v>38</v>
      </c>
    </row>
    <row r="3978" spans="1:11" ht="42" customHeight="1">
      <c r="A3978" s="2" t="s">
        <v>9436</v>
      </c>
      <c r="B3978" s="2" t="s">
        <v>9437</v>
      </c>
      <c r="C3978" s="2" t="s">
        <v>17</v>
      </c>
      <c r="D3978" s="2" t="s">
        <v>18</v>
      </c>
      <c r="E3978" s="5">
        <v>-29750</v>
      </c>
      <c r="F3978" s="3" t="s">
        <v>384</v>
      </c>
      <c r="G3978" s="3" t="s">
        <v>85</v>
      </c>
      <c r="H3978" s="2" t="s">
        <v>36</v>
      </c>
      <c r="I3978" s="2" t="s">
        <v>9438</v>
      </c>
      <c r="J3978" s="3" t="str">
        <f>HYPERLINK("https://www.boe.es/gazeta/dias/1818/07/18/pdfs/GMD-1818-86.pdf#page=3","Abrir facsímil")</f>
        <v>Abrir facsímil</v>
      </c>
      <c r="K3978" s="3" t="s">
        <v>38</v>
      </c>
    </row>
    <row r="3979" spans="1:11" ht="42" customHeight="1">
      <c r="A3979" s="2" t="s">
        <v>9439</v>
      </c>
      <c r="B3979" s="2" t="s">
        <v>9440</v>
      </c>
      <c r="C3979" s="2" t="s">
        <v>17</v>
      </c>
      <c r="D3979" s="2" t="s">
        <v>18</v>
      </c>
      <c r="E3979" s="5">
        <v>-29717</v>
      </c>
      <c r="F3979" s="3" t="s">
        <v>1644</v>
      </c>
      <c r="G3979" s="3" t="s">
        <v>29</v>
      </c>
      <c r="H3979" s="2" t="s">
        <v>36</v>
      </c>
      <c r="I3979" s="2" t="s">
        <v>9441</v>
      </c>
      <c r="J3979" s="3" t="str">
        <f>HYPERLINK("https://www.boe.es/gazeta/dias/1818/08/20/pdfs/GMD-1818-100.pdf#page=4","Abrir facsímil")</f>
        <v>Abrir facsímil</v>
      </c>
      <c r="K3979" s="3" t="s">
        <v>38</v>
      </c>
    </row>
    <row r="3980" spans="1:11" ht="42" customHeight="1">
      <c r="A3980" s="2" t="s">
        <v>9442</v>
      </c>
      <c r="B3980" s="2" t="s">
        <v>9443</v>
      </c>
      <c r="C3980" s="2" t="s">
        <v>57</v>
      </c>
      <c r="D3980" s="2" t="s">
        <v>18</v>
      </c>
      <c r="E3980" s="5">
        <v>-29757</v>
      </c>
      <c r="F3980" s="3" t="s">
        <v>115</v>
      </c>
      <c r="G3980" s="3" t="s">
        <v>116</v>
      </c>
      <c r="H3980" s="2" t="s">
        <v>36</v>
      </c>
      <c r="I3980" s="2" t="s">
        <v>9444</v>
      </c>
      <c r="J3980" s="3" t="str">
        <f>HYPERLINK("https://www.boe.es/gazeta/dias/1818/07/11/pdfs/GMD-1818-83.pdf#page=12","Abrir facsímil")</f>
        <v>Abrir facsímil</v>
      </c>
      <c r="K3980" s="3" t="s">
        <v>38</v>
      </c>
    </row>
    <row r="3981" spans="1:11" ht="42" customHeight="1">
      <c r="A3981" s="2" t="s">
        <v>9445</v>
      </c>
      <c r="B3981" s="2" t="s">
        <v>9446</v>
      </c>
      <c r="C3981" s="2" t="s">
        <v>26</v>
      </c>
      <c r="D3981" s="2" t="s">
        <v>27</v>
      </c>
      <c r="E3981" s="5">
        <v>-29920</v>
      </c>
      <c r="F3981" s="3" t="s">
        <v>201</v>
      </c>
      <c r="G3981" s="3" t="s">
        <v>20</v>
      </c>
      <c r="H3981" s="2" t="s">
        <v>36</v>
      </c>
      <c r="I3981" s="2" t="s">
        <v>9447</v>
      </c>
      <c r="J3981" s="3" t="str">
        <f>HYPERLINK("https://www.boe.es/gazeta/dias/1818/01/29/pdfs/GMD-1818-13.pdf#page=7","Abrir facsímil")</f>
        <v>Abrir facsímil</v>
      </c>
      <c r="K3981" s="3" t="s">
        <v>38</v>
      </c>
    </row>
    <row r="3982" spans="1:11" ht="42" customHeight="1">
      <c r="A3982" s="2" t="s">
        <v>9448</v>
      </c>
      <c r="B3982" s="2" t="s">
        <v>9449</v>
      </c>
      <c r="C3982" s="2" t="s">
        <v>26</v>
      </c>
      <c r="D3982" s="2" t="s">
        <v>27</v>
      </c>
      <c r="E3982" s="5">
        <v>-29920</v>
      </c>
      <c r="F3982" s="3" t="s">
        <v>201</v>
      </c>
      <c r="G3982" s="3" t="s">
        <v>111</v>
      </c>
      <c r="H3982" s="2" t="s">
        <v>36</v>
      </c>
      <c r="I3982" s="2" t="s">
        <v>9450</v>
      </c>
      <c r="J3982" s="3" t="str">
        <f>HYPERLINK("https://www.boe.es/gazeta/dias/1818/01/29/pdfs/GMD-1818-13.pdf#page=11","Abrir facsímil")</f>
        <v>Abrir facsímil</v>
      </c>
      <c r="K3982" s="3" t="s">
        <v>38</v>
      </c>
    </row>
    <row r="3983" spans="1:11" ht="42" customHeight="1">
      <c r="A3983" s="2" t="s">
        <v>9451</v>
      </c>
      <c r="B3983" s="2" t="s">
        <v>9452</v>
      </c>
      <c r="C3983" s="2" t="s">
        <v>26</v>
      </c>
      <c r="D3983" s="2" t="s">
        <v>27</v>
      </c>
      <c r="E3983" s="5">
        <v>-29913</v>
      </c>
      <c r="F3983" s="3" t="s">
        <v>449</v>
      </c>
      <c r="G3983" s="3" t="s">
        <v>45</v>
      </c>
      <c r="H3983" s="2" t="s">
        <v>36</v>
      </c>
      <c r="I3983" s="2" t="s">
        <v>9453</v>
      </c>
      <c r="J3983" s="3" t="str">
        <f>HYPERLINK("https://www.boe.es/gazeta/dias/1818/02/05/pdfs/GMD-1818-16.pdf#page=8","Abrir facsímil")</f>
        <v>Abrir facsímil</v>
      </c>
      <c r="K3983" s="3" t="s">
        <v>38</v>
      </c>
    </row>
    <row r="3984" spans="1:11" ht="42" customHeight="1">
      <c r="A3984" s="2" t="s">
        <v>9454</v>
      </c>
      <c r="B3984" s="2" t="s">
        <v>9455</v>
      </c>
      <c r="C3984" s="2" t="s">
        <v>26</v>
      </c>
      <c r="D3984" s="2" t="s">
        <v>27</v>
      </c>
      <c r="E3984" s="5">
        <v>-29841</v>
      </c>
      <c r="F3984" s="3" t="s">
        <v>19</v>
      </c>
      <c r="G3984" s="3" t="s">
        <v>59</v>
      </c>
      <c r="H3984" s="2" t="s">
        <v>36</v>
      </c>
      <c r="I3984" s="2" t="s">
        <v>9456</v>
      </c>
      <c r="J3984" s="3" t="str">
        <f>HYPERLINK("https://www.boe.es/gazeta/dias/1818/04/18/pdfs/GMD-1818-47.pdf#page=6","Abrir facsímil")</f>
        <v>Abrir facsímil</v>
      </c>
      <c r="K3984" s="3" t="s">
        <v>38</v>
      </c>
    </row>
    <row r="3985" spans="1:11" ht="42" customHeight="1">
      <c r="A3985" s="2" t="s">
        <v>9457</v>
      </c>
      <c r="B3985" s="2" t="s">
        <v>9458</v>
      </c>
      <c r="C3985" s="2" t="s">
        <v>17</v>
      </c>
      <c r="D3985" s="2" t="s">
        <v>18</v>
      </c>
      <c r="E3985" s="5">
        <v>-29666</v>
      </c>
      <c r="F3985" s="3" t="s">
        <v>258</v>
      </c>
      <c r="G3985" s="3" t="s">
        <v>59</v>
      </c>
      <c r="H3985" s="2" t="s">
        <v>36</v>
      </c>
      <c r="I3985" s="2" t="s">
        <v>9459</v>
      </c>
      <c r="J3985" s="3" t="str">
        <f>HYPERLINK("https://www.boe.es/gazeta/dias/1818/10/10/pdfs/GMD-1818-122.pdf#page=6","Abrir facsímil")</f>
        <v>Abrir facsímil</v>
      </c>
      <c r="K3985" s="3" t="s">
        <v>38</v>
      </c>
    </row>
    <row r="3986" spans="1:11" ht="42" customHeight="1">
      <c r="A3986" s="2" t="s">
        <v>9460</v>
      </c>
      <c r="B3986" s="2" t="s">
        <v>9461</v>
      </c>
      <c r="C3986" s="2" t="s">
        <v>17</v>
      </c>
      <c r="D3986" s="2" t="s">
        <v>18</v>
      </c>
      <c r="E3986" s="5">
        <v>-29915</v>
      </c>
      <c r="F3986" s="3" t="s">
        <v>429</v>
      </c>
      <c r="G3986" s="3" t="s">
        <v>45</v>
      </c>
      <c r="H3986" s="2" t="s">
        <v>36</v>
      </c>
      <c r="I3986" s="2" t="s">
        <v>9462</v>
      </c>
      <c r="J3986" s="3" t="str">
        <f>HYPERLINK("https://www.boe.es/gazeta/dias/1818/02/03/pdfs/GMD-1818-15.pdf#page=8","Abrir facsímil")</f>
        <v>Abrir facsímil</v>
      </c>
      <c r="K3986" s="3" t="s">
        <v>38</v>
      </c>
    </row>
    <row r="3987" spans="1:11" ht="42" customHeight="1">
      <c r="A3987" s="2" t="s">
        <v>9463</v>
      </c>
      <c r="B3987" s="2" t="s">
        <v>9464</v>
      </c>
      <c r="C3987" s="2" t="s">
        <v>17</v>
      </c>
      <c r="D3987" s="2" t="s">
        <v>18</v>
      </c>
      <c r="E3987" s="5">
        <v>-29866</v>
      </c>
      <c r="F3987" s="3" t="s">
        <v>828</v>
      </c>
      <c r="G3987" s="3" t="s">
        <v>20</v>
      </c>
      <c r="H3987" s="2" t="s">
        <v>36</v>
      </c>
      <c r="I3987" s="2" t="s">
        <v>9465</v>
      </c>
      <c r="J3987" s="3" t="str">
        <f>HYPERLINK("https://www.boe.es/gazeta/dias/1818/03/24/pdfs/GMD-1818-36.pdf#page=7","Abrir facsímil")</f>
        <v>Abrir facsímil</v>
      </c>
      <c r="K3987" s="3" t="s">
        <v>38</v>
      </c>
    </row>
    <row r="3988" spans="1:11" ht="42" customHeight="1">
      <c r="A3988" s="2" t="s">
        <v>9466</v>
      </c>
      <c r="B3988" s="2" t="s">
        <v>9467</v>
      </c>
      <c r="C3988" s="2" t="s">
        <v>57</v>
      </c>
      <c r="D3988" s="2" t="s">
        <v>18</v>
      </c>
      <c r="E3988" s="5">
        <v>-29915</v>
      </c>
      <c r="F3988" s="3" t="s">
        <v>429</v>
      </c>
      <c r="G3988" s="3" t="s">
        <v>20</v>
      </c>
      <c r="H3988" s="2" t="s">
        <v>36</v>
      </c>
      <c r="I3988" s="2" t="s">
        <v>9468</v>
      </c>
      <c r="J3988" s="3" t="str">
        <f>HYPERLINK("https://www.boe.es/gazeta/dias/1818/02/03/pdfs/GMD-1818-15.pdf#page=7","Abrir facsímil")</f>
        <v>Abrir facsímil</v>
      </c>
      <c r="K3988" s="3" t="s">
        <v>38</v>
      </c>
    </row>
    <row r="3989" spans="1:11" ht="42" customHeight="1">
      <c r="A3989" s="2" t="s">
        <v>9469</v>
      </c>
      <c r="B3989" s="2" t="s">
        <v>9470</v>
      </c>
      <c r="C3989" s="2" t="s">
        <v>17</v>
      </c>
      <c r="D3989" s="2" t="s">
        <v>18</v>
      </c>
      <c r="E3989" s="5">
        <v>-29698</v>
      </c>
      <c r="F3989" s="3" t="s">
        <v>148</v>
      </c>
      <c r="G3989" s="3" t="s">
        <v>29</v>
      </c>
      <c r="H3989" s="2" t="s">
        <v>36</v>
      </c>
      <c r="I3989" s="2" t="s">
        <v>9471</v>
      </c>
      <c r="J3989" s="3" t="str">
        <f>HYPERLINK("https://www.boe.es/gazeta/dias/1818/09/08/pdfs/GMD-1818-108.pdf#page=4","Abrir facsímil")</f>
        <v>Abrir facsímil</v>
      </c>
      <c r="K3989" s="3" t="s">
        <v>38</v>
      </c>
    </row>
    <row r="3990" spans="1:11" ht="42" customHeight="1">
      <c r="A3990" s="2" t="s">
        <v>9472</v>
      </c>
      <c r="B3990" s="2" t="s">
        <v>9473</v>
      </c>
      <c r="C3990" s="2" t="s">
        <v>26</v>
      </c>
      <c r="D3990" s="2" t="s">
        <v>27</v>
      </c>
      <c r="E3990" s="5">
        <v>-29806</v>
      </c>
      <c r="F3990" s="3" t="s">
        <v>84</v>
      </c>
      <c r="G3990" s="3" t="s">
        <v>29</v>
      </c>
      <c r="H3990" s="2" t="s">
        <v>36</v>
      </c>
      <c r="I3990" s="2" t="s">
        <v>9474</v>
      </c>
      <c r="J3990" s="3" t="str">
        <f>HYPERLINK("https://www.boe.es/gazeta/dias/1818/05/23/pdfs/GMD-1818-62.pdf#page=4","Abrir facsímil")</f>
        <v>Abrir facsímil</v>
      </c>
      <c r="K3990" s="3" t="s">
        <v>38</v>
      </c>
    </row>
    <row r="3991" spans="1:11" ht="42" customHeight="1">
      <c r="A3991" s="2" t="s">
        <v>9475</v>
      </c>
      <c r="B3991" s="2" t="s">
        <v>9476</v>
      </c>
      <c r="C3991" s="2" t="s">
        <v>26</v>
      </c>
      <c r="D3991" s="2" t="s">
        <v>27</v>
      </c>
      <c r="E3991" s="5">
        <v>-29722</v>
      </c>
      <c r="F3991" s="3" t="s">
        <v>1127</v>
      </c>
      <c r="G3991" s="3" t="s">
        <v>45</v>
      </c>
      <c r="H3991" s="2" t="s">
        <v>36</v>
      </c>
      <c r="I3991" s="2" t="s">
        <v>9477</v>
      </c>
      <c r="J3991" s="3" t="str">
        <f>HYPERLINK("https://www.boe.es/gazeta/dias/1818/08/15/pdfs/GMD-1818-98.pdf#page=8","Abrir facsímil")</f>
        <v>Abrir facsímil</v>
      </c>
      <c r="K3991" s="3" t="s">
        <v>38</v>
      </c>
    </row>
    <row r="3992" spans="1:11" ht="42" customHeight="1">
      <c r="A3992" s="2" t="s">
        <v>9478</v>
      </c>
      <c r="B3992" s="2" t="s">
        <v>9479</v>
      </c>
      <c r="C3992" s="2" t="s">
        <v>26</v>
      </c>
      <c r="D3992" s="2" t="s">
        <v>27</v>
      </c>
      <c r="E3992" s="5">
        <v>-29626</v>
      </c>
      <c r="F3992" s="3" t="s">
        <v>496</v>
      </c>
      <c r="G3992" s="3" t="s">
        <v>45</v>
      </c>
      <c r="H3992" s="2" t="s">
        <v>36</v>
      </c>
      <c r="I3992" s="2" t="s">
        <v>9480</v>
      </c>
      <c r="J3992" s="3" t="str">
        <f>HYPERLINK("https://www.boe.es/gazeta/dias/1818/11/19/pdfs/GMD-1818-140.pdf#page=8","Abrir facsímil")</f>
        <v>Abrir facsímil</v>
      </c>
      <c r="K3992" s="3" t="s">
        <v>38</v>
      </c>
    </row>
    <row r="3993" spans="1:11" ht="42" customHeight="1">
      <c r="A3993" s="2" t="s">
        <v>9481</v>
      </c>
      <c r="B3993" s="2" t="s">
        <v>9482</v>
      </c>
      <c r="C3993" s="2" t="s">
        <v>26</v>
      </c>
      <c r="D3993" s="2" t="s">
        <v>27</v>
      </c>
      <c r="E3993" s="5">
        <v>-29803</v>
      </c>
      <c r="F3993" s="3" t="s">
        <v>1393</v>
      </c>
      <c r="G3993" s="3" t="s">
        <v>85</v>
      </c>
      <c r="H3993" s="2" t="s">
        <v>36</v>
      </c>
      <c r="I3993" s="2" t="s">
        <v>9483</v>
      </c>
      <c r="J3993" s="3" t="str">
        <f>HYPERLINK("https://www.boe.es/gazeta/dias/1818/05/26/pdfs/GMD-1818-63.pdf#page=3","Abrir facsímil")</f>
        <v>Abrir facsímil</v>
      </c>
      <c r="K3993" s="3" t="s">
        <v>38</v>
      </c>
    </row>
    <row r="3994" spans="1:11" ht="42" customHeight="1">
      <c r="A3994" s="2" t="s">
        <v>9484</v>
      </c>
      <c r="B3994" s="2" t="s">
        <v>9485</v>
      </c>
      <c r="C3994" s="2" t="s">
        <v>57</v>
      </c>
      <c r="D3994" s="2" t="s">
        <v>18</v>
      </c>
      <c r="E3994" s="5">
        <v>-29747</v>
      </c>
      <c r="F3994" s="3" t="s">
        <v>536</v>
      </c>
      <c r="G3994" s="3" t="s">
        <v>45</v>
      </c>
      <c r="H3994" s="2" t="s">
        <v>21</v>
      </c>
      <c r="I3994" s="2" t="s">
        <v>9486</v>
      </c>
      <c r="J3994" s="3" t="str">
        <f>HYPERLINK("https://www.boe.es/gazeta/dias/1818/07/21/pdfs/GMD-1818-87.pdf#page=8","Abrir facsímil")</f>
        <v>Abrir facsímil</v>
      </c>
      <c r="K3994" s="3" t="s">
        <v>23</v>
      </c>
    </row>
    <row r="3995" spans="1:11" ht="42" customHeight="1">
      <c r="A3995" s="2" t="s">
        <v>9487</v>
      </c>
      <c r="B3995" s="2" t="s">
        <v>9488</v>
      </c>
      <c r="C3995" s="2" t="s">
        <v>17</v>
      </c>
      <c r="D3995" s="2" t="s">
        <v>18</v>
      </c>
      <c r="E3995" s="5">
        <v>-29591</v>
      </c>
      <c r="F3995" s="3" t="s">
        <v>1414</v>
      </c>
      <c r="G3995" s="3" t="s">
        <v>45</v>
      </c>
      <c r="H3995" s="2" t="s">
        <v>36</v>
      </c>
      <c r="I3995" s="2" t="s">
        <v>9489</v>
      </c>
      <c r="J3995" s="3" t="str">
        <f>HYPERLINK("https://www.boe.es/gazeta/dias/1818/12/24/pdfs/GMD-1818-155.pdf#page=8","Abrir facsímil")</f>
        <v>Abrir facsímil</v>
      </c>
      <c r="K3995" s="3" t="s">
        <v>38</v>
      </c>
    </row>
    <row r="3996" spans="1:11" ht="42" customHeight="1">
      <c r="A3996" s="2" t="s">
        <v>9490</v>
      </c>
      <c r="B3996" s="2" t="s">
        <v>9491</v>
      </c>
      <c r="C3996" s="2" t="s">
        <v>17</v>
      </c>
      <c r="D3996" s="2" t="s">
        <v>18</v>
      </c>
      <c r="E3996" s="5">
        <v>-29906</v>
      </c>
      <c r="F3996" s="3" t="s">
        <v>28</v>
      </c>
      <c r="G3996" s="3" t="s">
        <v>106</v>
      </c>
      <c r="H3996" s="2" t="s">
        <v>36</v>
      </c>
      <c r="I3996" s="2" t="s">
        <v>9492</v>
      </c>
      <c r="J3996" s="3" t="str">
        <f>HYPERLINK("https://www.boe.es/gazeta/dias/1818/02/12/pdfs/GMD-1818-19.pdf#page=5","Abrir facsímil")</f>
        <v>Abrir facsímil</v>
      </c>
      <c r="K3996" s="3" t="s">
        <v>38</v>
      </c>
    </row>
    <row r="3997" spans="1:11" ht="42" customHeight="1">
      <c r="A3997" s="2" t="s">
        <v>9493</v>
      </c>
      <c r="B3997" s="2" t="s">
        <v>9493</v>
      </c>
      <c r="C3997" s="2" t="s">
        <v>26</v>
      </c>
      <c r="D3997" s="2" t="s">
        <v>27</v>
      </c>
      <c r="E3997" s="5">
        <v>-29852</v>
      </c>
      <c r="F3997" s="3" t="s">
        <v>327</v>
      </c>
      <c r="G3997" s="3" t="s">
        <v>85</v>
      </c>
      <c r="H3997" s="2" t="s">
        <v>36</v>
      </c>
      <c r="I3997" s="2" t="s">
        <v>9494</v>
      </c>
      <c r="J3997" s="3" t="str">
        <f>HYPERLINK("https://www.boe.es/gazeta/dias/1818/04/07/pdfs/GMD-1818-42.pdf#page=3","Abrir facsímil")</f>
        <v>Abrir facsímil</v>
      </c>
      <c r="K3997" s="3" t="s">
        <v>38</v>
      </c>
    </row>
    <row r="3998" spans="1:11" ht="42" customHeight="1">
      <c r="A3998" s="2" t="s">
        <v>9495</v>
      </c>
      <c r="B3998" s="2" t="s">
        <v>9495</v>
      </c>
      <c r="C3998" s="2" t="s">
        <v>17</v>
      </c>
      <c r="D3998" s="2" t="s">
        <v>18</v>
      </c>
      <c r="E3998" s="5">
        <v>-29605</v>
      </c>
      <c r="F3998" s="3" t="s">
        <v>888</v>
      </c>
      <c r="G3998" s="3" t="s">
        <v>120</v>
      </c>
      <c r="H3998" s="2" t="s">
        <v>36</v>
      </c>
      <c r="I3998" s="2" t="s">
        <v>9496</v>
      </c>
      <c r="J3998" s="3" t="str">
        <f>HYPERLINK("https://www.boe.es/gazeta/dias/1818/12/10/pdfs/GMD-1818-149.pdf#page=2","Abrir facsímil")</f>
        <v>Abrir facsímil</v>
      </c>
      <c r="K3998" s="3" t="s">
        <v>38</v>
      </c>
    </row>
    <row r="3999" spans="1:11" ht="42" customHeight="1">
      <c r="A3999" s="2" t="s">
        <v>9497</v>
      </c>
      <c r="B3999" s="2" t="s">
        <v>9497</v>
      </c>
      <c r="C3999" s="2" t="s">
        <v>26</v>
      </c>
      <c r="D3999" s="2" t="s">
        <v>27</v>
      </c>
      <c r="E3999" s="5">
        <v>-29670</v>
      </c>
      <c r="F3999" s="3" t="s">
        <v>48</v>
      </c>
      <c r="G3999" s="3" t="s">
        <v>49</v>
      </c>
      <c r="H3999" s="2" t="s">
        <v>36</v>
      </c>
      <c r="I3999" s="2" t="s">
        <v>9498</v>
      </c>
      <c r="J3999" s="3" t="str">
        <f>HYPERLINK("https://www.boe.es/gazeta/dias/1818/10/06/pdfs/GMD-1818-120.pdf#page=1","Abrir facsímil")</f>
        <v>Abrir facsímil</v>
      </c>
      <c r="K3999" s="3" t="s">
        <v>38</v>
      </c>
    </row>
    <row r="4000" spans="1:11" ht="42" customHeight="1">
      <c r="A4000" s="2" t="s">
        <v>9499</v>
      </c>
      <c r="B4000" s="2" t="s">
        <v>9499</v>
      </c>
      <c r="C4000" s="2" t="s">
        <v>26</v>
      </c>
      <c r="D4000" s="2" t="s">
        <v>27</v>
      </c>
      <c r="E4000" s="5">
        <v>-29586</v>
      </c>
      <c r="F4000" s="3" t="s">
        <v>683</v>
      </c>
      <c r="G4000" s="3" t="s">
        <v>85</v>
      </c>
      <c r="H4000" s="2" t="s">
        <v>36</v>
      </c>
      <c r="I4000" s="2" t="s">
        <v>9500</v>
      </c>
      <c r="J4000" s="3" t="str">
        <f>HYPERLINK("https://www.boe.es/gazeta/dias/1818/12/29/pdfs/GMD-1818-158.pdf#page=3","Abrir facsímil")</f>
        <v>Abrir facsímil</v>
      </c>
      <c r="K4000" s="3" t="s">
        <v>38</v>
      </c>
    </row>
    <row r="4001" spans="1:11" ht="42" customHeight="1">
      <c r="A4001" s="2" t="s">
        <v>9501</v>
      </c>
      <c r="B4001" s="2" t="s">
        <v>9502</v>
      </c>
      <c r="C4001" s="2" t="s">
        <v>26</v>
      </c>
      <c r="D4001" s="2" t="s">
        <v>27</v>
      </c>
      <c r="E4001" s="5">
        <v>-29754</v>
      </c>
      <c r="F4001" s="3" t="s">
        <v>466</v>
      </c>
      <c r="G4001" s="3" t="s">
        <v>106</v>
      </c>
      <c r="H4001" s="2" t="s">
        <v>36</v>
      </c>
      <c r="I4001" s="2" t="s">
        <v>9503</v>
      </c>
      <c r="J4001" s="3" t="str">
        <f>HYPERLINK("https://www.boe.es/gazeta/dias/1818/07/14/pdfs/GMD-1818-84.pdf#page=5","Abrir facsímil")</f>
        <v>Abrir facsímil</v>
      </c>
      <c r="K4001" s="3" t="s">
        <v>38</v>
      </c>
    </row>
    <row r="4002" spans="1:11" ht="42" customHeight="1">
      <c r="A4002" s="2" t="s">
        <v>9504</v>
      </c>
      <c r="B4002" s="2" t="s">
        <v>9505</v>
      </c>
      <c r="C4002" s="2" t="s">
        <v>26</v>
      </c>
      <c r="D4002" s="2" t="s">
        <v>27</v>
      </c>
      <c r="E4002" s="5">
        <v>-29911</v>
      </c>
      <c r="F4002" s="3" t="s">
        <v>509</v>
      </c>
      <c r="G4002" s="3" t="s">
        <v>85</v>
      </c>
      <c r="H4002" s="2" t="s">
        <v>36</v>
      </c>
      <c r="I4002" s="2" t="s">
        <v>9506</v>
      </c>
      <c r="J4002" s="3" t="str">
        <f>HYPERLINK("https://www.boe.es/gazeta/dias/1818/02/07/pdfs/GMD-1818-17.pdf#page=3","Abrir facsímil")</f>
        <v>Abrir facsímil</v>
      </c>
      <c r="K4002" s="3" t="s">
        <v>38</v>
      </c>
    </row>
    <row r="4003" spans="1:11" ht="42" customHeight="1">
      <c r="A4003" s="2" t="s">
        <v>9507</v>
      </c>
      <c r="B4003" s="2" t="s">
        <v>9507</v>
      </c>
      <c r="C4003" s="2" t="s">
        <v>26</v>
      </c>
      <c r="D4003" s="2" t="s">
        <v>27</v>
      </c>
      <c r="E4003" s="5">
        <v>-29925</v>
      </c>
      <c r="F4003" s="3" t="s">
        <v>447</v>
      </c>
      <c r="G4003" s="3" t="s">
        <v>120</v>
      </c>
      <c r="H4003" s="2" t="s">
        <v>36</v>
      </c>
      <c r="I4003" s="2" t="s">
        <v>9508</v>
      </c>
      <c r="J4003" s="3" t="str">
        <f>HYPERLINK("https://www.boe.es/gazeta/dias/1818/01/24/pdfs/GMD-1818-11.pdf#page=2","Abrir facsímil")</f>
        <v>Abrir facsímil</v>
      </c>
      <c r="K4003" s="3" t="s">
        <v>38</v>
      </c>
    </row>
    <row r="4004" spans="1:11" ht="42" customHeight="1">
      <c r="A4004" s="2" t="s">
        <v>9509</v>
      </c>
      <c r="B4004" s="2" t="s">
        <v>9510</v>
      </c>
      <c r="C4004" s="2" t="s">
        <v>26</v>
      </c>
      <c r="D4004" s="2" t="s">
        <v>27</v>
      </c>
      <c r="E4004" s="5">
        <v>-29708</v>
      </c>
      <c r="F4004" s="3" t="s">
        <v>413</v>
      </c>
      <c r="G4004" s="3" t="s">
        <v>106</v>
      </c>
      <c r="H4004" s="2" t="s">
        <v>36</v>
      </c>
      <c r="I4004" s="2" t="s">
        <v>9511</v>
      </c>
      <c r="J4004" s="3" t="str">
        <f>HYPERLINK("https://www.boe.es/gazeta/dias/1818/08/29/pdfs/GMD-1818-104.pdf#page=5","Abrir facsímil")</f>
        <v>Abrir facsímil</v>
      </c>
      <c r="K4004" s="3" t="s">
        <v>38</v>
      </c>
    </row>
    <row r="4005" spans="1:11" ht="42" customHeight="1">
      <c r="A4005" s="2" t="s">
        <v>9512</v>
      </c>
      <c r="B4005" s="2" t="s">
        <v>9512</v>
      </c>
      <c r="C4005" s="2" t="s">
        <v>33</v>
      </c>
      <c r="D4005" s="2" t="s">
        <v>18</v>
      </c>
      <c r="E4005" s="5">
        <v>-29775</v>
      </c>
      <c r="F4005" s="3" t="s">
        <v>1245</v>
      </c>
      <c r="G4005" s="3" t="s">
        <v>85</v>
      </c>
      <c r="H4005" s="2" t="s">
        <v>36</v>
      </c>
      <c r="I4005" s="2" t="s">
        <v>9513</v>
      </c>
      <c r="J4005" s="3" t="str">
        <f>HYPERLINK("https://www.boe.es/gazeta/dias/1818/06/23/pdfs/GMD-1818-75.pdf#page=3","Abrir facsímil")</f>
        <v>Abrir facsímil</v>
      </c>
      <c r="K4005" s="3" t="s">
        <v>38</v>
      </c>
    </row>
    <row r="4006" spans="1:11" ht="42" customHeight="1">
      <c r="A4006" s="2" t="s">
        <v>9514</v>
      </c>
      <c r="B4006" s="2" t="s">
        <v>9515</v>
      </c>
      <c r="C4006" s="2" t="s">
        <v>26</v>
      </c>
      <c r="D4006" s="2" t="s">
        <v>27</v>
      </c>
      <c r="E4006" s="5">
        <v>-29654</v>
      </c>
      <c r="F4006" s="3" t="s">
        <v>219</v>
      </c>
      <c r="G4006" s="3" t="s">
        <v>59</v>
      </c>
      <c r="H4006" s="2" t="s">
        <v>36</v>
      </c>
      <c r="I4006" s="2" t="s">
        <v>9516</v>
      </c>
      <c r="J4006" s="3" t="str">
        <f>HYPERLINK("https://www.boe.es/gazeta/dias/1818/10/22/pdfs/GMD-1818-128.pdf#page=6","Abrir facsímil")</f>
        <v>Abrir facsímil</v>
      </c>
      <c r="K4006" s="3" t="s">
        <v>38</v>
      </c>
    </row>
    <row r="4007" spans="1:11" ht="42" customHeight="1">
      <c r="A4007" s="2" t="s">
        <v>9517</v>
      </c>
      <c r="B4007" s="2" t="s">
        <v>9518</v>
      </c>
      <c r="C4007" s="2" t="s">
        <v>26</v>
      </c>
      <c r="D4007" s="2" t="s">
        <v>27</v>
      </c>
      <c r="E4007" s="5">
        <v>-29787</v>
      </c>
      <c r="F4007" s="3" t="s">
        <v>343</v>
      </c>
      <c r="G4007" s="3" t="s">
        <v>29</v>
      </c>
      <c r="H4007" s="2" t="s">
        <v>36</v>
      </c>
      <c r="I4007" s="2" t="s">
        <v>9519</v>
      </c>
      <c r="J4007" s="3" t="str">
        <f>HYPERLINK("https://www.boe.es/gazeta/dias/1818/06/11/pdfs/GMD-1818-70.pdf#page=4","Abrir facsímil")</f>
        <v>Abrir facsímil</v>
      </c>
      <c r="K4007" s="3" t="s">
        <v>38</v>
      </c>
    </row>
    <row r="4008" spans="1:11" ht="42" customHeight="1">
      <c r="A4008" s="2" t="s">
        <v>9520</v>
      </c>
      <c r="B4008" s="2" t="s">
        <v>9520</v>
      </c>
      <c r="C4008" s="2" t="s">
        <v>68</v>
      </c>
      <c r="D4008" s="2" t="s">
        <v>69</v>
      </c>
      <c r="E4008" s="5">
        <v>-29876</v>
      </c>
      <c r="F4008" s="3" t="s">
        <v>338</v>
      </c>
      <c r="G4008" s="3" t="s">
        <v>49</v>
      </c>
      <c r="H4008" s="2" t="s">
        <v>36</v>
      </c>
      <c r="I4008" s="2" t="s">
        <v>9521</v>
      </c>
      <c r="J4008" s="3" t="str">
        <f>HYPERLINK("https://www.boe.es/gazeta/dias/1818/03/14/pdfs/GMD-1818-32.pdf#page=1","Abrir facsímil")</f>
        <v>Abrir facsímil</v>
      </c>
      <c r="K4008" s="3" t="s">
        <v>38</v>
      </c>
    </row>
    <row r="4009" spans="1:11" ht="42" customHeight="1">
      <c r="A4009" s="2" t="s">
        <v>9522</v>
      </c>
      <c r="B4009" s="2" t="s">
        <v>9522</v>
      </c>
      <c r="C4009" s="2" t="s">
        <v>17</v>
      </c>
      <c r="D4009" s="2" t="s">
        <v>18</v>
      </c>
      <c r="E4009" s="5">
        <v>-29897</v>
      </c>
      <c r="F4009" s="3" t="s">
        <v>318</v>
      </c>
      <c r="G4009" s="3" t="s">
        <v>49</v>
      </c>
      <c r="H4009" s="2" t="s">
        <v>36</v>
      </c>
      <c r="I4009" s="2" t="s">
        <v>9523</v>
      </c>
      <c r="J4009" s="3" t="str">
        <f>HYPERLINK("https://www.boe.es/gazeta/dias/1818/02/21/pdfs/GMD-1818-23.pdf#page=1","Abrir facsímil")</f>
        <v>Abrir facsímil</v>
      </c>
      <c r="K4009" s="3" t="s">
        <v>38</v>
      </c>
    </row>
    <row r="4010" spans="1:11" ht="42" customHeight="1">
      <c r="A4010" s="2" t="s">
        <v>9524</v>
      </c>
      <c r="B4010" s="2" t="s">
        <v>9524</v>
      </c>
      <c r="C4010" s="2" t="s">
        <v>68</v>
      </c>
      <c r="D4010" s="2" t="s">
        <v>69</v>
      </c>
      <c r="E4010" s="5">
        <v>-29908</v>
      </c>
      <c r="F4010" s="3" t="s">
        <v>695</v>
      </c>
      <c r="G4010" s="3" t="s">
        <v>85</v>
      </c>
      <c r="H4010" s="2" t="s">
        <v>36</v>
      </c>
      <c r="I4010" s="2" t="s">
        <v>9525</v>
      </c>
      <c r="J4010" s="3" t="str">
        <f>HYPERLINK("https://www.boe.es/gazeta/dias/1818/02/10/pdfs/GMD-1818-18.pdf#page=3","Abrir facsímil")</f>
        <v>Abrir facsímil</v>
      </c>
      <c r="K4010" s="3" t="s">
        <v>38</v>
      </c>
    </row>
    <row r="4011" spans="1:11" ht="42" customHeight="1">
      <c r="A4011" s="2" t="s">
        <v>9524</v>
      </c>
      <c r="B4011" s="2" t="s">
        <v>9524</v>
      </c>
      <c r="C4011" s="2" t="s">
        <v>215</v>
      </c>
      <c r="D4011" s="2" t="s">
        <v>18</v>
      </c>
      <c r="E4011" s="5">
        <v>-29696</v>
      </c>
      <c r="F4011" s="3" t="s">
        <v>1716</v>
      </c>
      <c r="G4011" s="3" t="s">
        <v>49</v>
      </c>
      <c r="H4011" s="2" t="s">
        <v>36</v>
      </c>
      <c r="I4011" s="2" t="s">
        <v>9526</v>
      </c>
      <c r="J4011" s="3" t="str">
        <f>HYPERLINK("https://www.boe.es/gazeta/dias/1818/09/10/pdfs/GMD-1818-109.pdf#page=1","Abrir facsímil")</f>
        <v>Abrir facsímil</v>
      </c>
      <c r="K4011" s="3" t="s">
        <v>38</v>
      </c>
    </row>
    <row r="4012" spans="1:11" ht="42" customHeight="1">
      <c r="A4012" s="2" t="s">
        <v>9524</v>
      </c>
      <c r="B4012" s="2" t="s">
        <v>9524</v>
      </c>
      <c r="C4012" s="2" t="s">
        <v>17</v>
      </c>
      <c r="D4012" s="2" t="s">
        <v>18</v>
      </c>
      <c r="E4012" s="5">
        <v>-29694</v>
      </c>
      <c r="F4012" s="3" t="s">
        <v>528</v>
      </c>
      <c r="G4012" s="3" t="s">
        <v>49</v>
      </c>
      <c r="H4012" s="2" t="s">
        <v>36</v>
      </c>
      <c r="I4012" s="2" t="s">
        <v>9527</v>
      </c>
      <c r="J4012" s="3" t="str">
        <f>HYPERLINK("https://www.boe.es/gazeta/dias/1818/09/12/pdfs/GMD-1818-110.pdf#page=1","Abrir facsímil")</f>
        <v>Abrir facsímil</v>
      </c>
      <c r="K4012" s="3" t="s">
        <v>38</v>
      </c>
    </row>
    <row r="4013" spans="1:11" ht="42" customHeight="1">
      <c r="A4013" s="2" t="s">
        <v>9524</v>
      </c>
      <c r="B4013" s="2" t="s">
        <v>9524</v>
      </c>
      <c r="C4013" s="2" t="s">
        <v>215</v>
      </c>
      <c r="D4013" s="2" t="s">
        <v>18</v>
      </c>
      <c r="E4013" s="5">
        <v>-29691</v>
      </c>
      <c r="F4013" s="3" t="s">
        <v>144</v>
      </c>
      <c r="G4013" s="3" t="s">
        <v>120</v>
      </c>
      <c r="H4013" s="2" t="s">
        <v>36</v>
      </c>
      <c r="I4013" s="2" t="s">
        <v>9528</v>
      </c>
      <c r="J4013" s="3" t="str">
        <f>HYPERLINK("https://www.boe.es/gazeta/dias/1818/09/15/pdfs/GMD-1818-111.pdf#page=2","Abrir facsímil")</f>
        <v>Abrir facsímil</v>
      </c>
      <c r="K4013" s="3" t="s">
        <v>38</v>
      </c>
    </row>
    <row r="4014" spans="1:11" ht="42" customHeight="1">
      <c r="A4014" s="2" t="s">
        <v>9524</v>
      </c>
      <c r="B4014" s="2" t="s">
        <v>9524</v>
      </c>
      <c r="C4014" s="2" t="s">
        <v>17</v>
      </c>
      <c r="D4014" s="2" t="s">
        <v>18</v>
      </c>
      <c r="E4014" s="5">
        <v>-29638</v>
      </c>
      <c r="F4014" s="3" t="s">
        <v>307</v>
      </c>
      <c r="G4014" s="3" t="s">
        <v>120</v>
      </c>
      <c r="H4014" s="2" t="s">
        <v>36</v>
      </c>
      <c r="I4014" s="2" t="s">
        <v>9529</v>
      </c>
      <c r="J4014" s="3" t="str">
        <f>HYPERLINK("https://www.boe.es/gazeta/dias/1818/11/07/pdfs/GMD-1818-135.pdf#page=2","Abrir facsímil")</f>
        <v>Abrir facsímil</v>
      </c>
      <c r="K4014" s="3" t="s">
        <v>38</v>
      </c>
    </row>
    <row r="4015" spans="1:11" ht="42" customHeight="1">
      <c r="A4015" s="2" t="s">
        <v>9524</v>
      </c>
      <c r="B4015" s="2" t="s">
        <v>9524</v>
      </c>
      <c r="C4015" s="2" t="s">
        <v>215</v>
      </c>
      <c r="D4015" s="2" t="s">
        <v>18</v>
      </c>
      <c r="E4015" s="5">
        <v>-29589</v>
      </c>
      <c r="F4015" s="3" t="s">
        <v>210</v>
      </c>
      <c r="G4015" s="3" t="s">
        <v>49</v>
      </c>
      <c r="H4015" s="2" t="s">
        <v>36</v>
      </c>
      <c r="I4015" s="2" t="s">
        <v>9530</v>
      </c>
      <c r="J4015" s="3" t="str">
        <f>HYPERLINK("https://www.boe.es/gazeta/dias/1818/12/26/pdfs/GMD-1818-156.pdf#page=1","Abrir facsímil")</f>
        <v>Abrir facsímil</v>
      </c>
      <c r="K4015" s="3" t="s">
        <v>38</v>
      </c>
    </row>
    <row r="4016" spans="1:11" ht="42" customHeight="1">
      <c r="A4016" s="2" t="s">
        <v>9531</v>
      </c>
      <c r="B4016" s="2" t="s">
        <v>9531</v>
      </c>
      <c r="C4016" s="2" t="s">
        <v>17</v>
      </c>
      <c r="D4016" s="2" t="s">
        <v>18</v>
      </c>
      <c r="E4016" s="5">
        <v>-29682</v>
      </c>
      <c r="F4016" s="3" t="s">
        <v>170</v>
      </c>
      <c r="G4016" s="3" t="s">
        <v>59</v>
      </c>
      <c r="H4016" s="2" t="s">
        <v>36</v>
      </c>
      <c r="I4016" s="2" t="s">
        <v>9532</v>
      </c>
      <c r="J4016" s="3" t="str">
        <f>HYPERLINK("https://www.boe.es/gazeta/dias/1818/09/24/pdfs/GMD-1818-115.pdf#page=6","Abrir facsímil")</f>
        <v>Abrir facsímil</v>
      </c>
      <c r="K4016" s="3" t="s">
        <v>38</v>
      </c>
    </row>
    <row r="4017" spans="1:11" ht="42" customHeight="1">
      <c r="A4017" s="2" t="s">
        <v>9533</v>
      </c>
      <c r="B4017" s="2" t="s">
        <v>9533</v>
      </c>
      <c r="C4017" s="2" t="s">
        <v>68</v>
      </c>
      <c r="D4017" s="2" t="s">
        <v>69</v>
      </c>
      <c r="E4017" s="5">
        <v>-29859</v>
      </c>
      <c r="F4017" s="3" t="s">
        <v>3456</v>
      </c>
      <c r="G4017" s="3" t="s">
        <v>4590</v>
      </c>
      <c r="H4017" s="2" t="s">
        <v>36</v>
      </c>
      <c r="I4017" s="2" t="s">
        <v>9534</v>
      </c>
      <c r="J4017" s="3" t="str">
        <f>HYPERLINK("https://www.boe.es/gazeta/dias/1818/03/31/pdfs/GMD-1818-39.pdf#page=3","Abrir facsímil")</f>
        <v>Abrir facsímil</v>
      </c>
      <c r="K4017" s="3" t="s">
        <v>38</v>
      </c>
    </row>
    <row r="4018" spans="1:11" ht="42" customHeight="1">
      <c r="A4018" s="2" t="s">
        <v>9535</v>
      </c>
      <c r="B4018" s="2" t="s">
        <v>9536</v>
      </c>
      <c r="C4018" s="2" t="s">
        <v>26</v>
      </c>
      <c r="D4018" s="2" t="s">
        <v>27</v>
      </c>
      <c r="E4018" s="5">
        <v>-29731</v>
      </c>
      <c r="F4018" s="3" t="s">
        <v>299</v>
      </c>
      <c r="G4018" s="3" t="s">
        <v>59</v>
      </c>
      <c r="H4018" s="2" t="s">
        <v>36</v>
      </c>
      <c r="I4018" s="2" t="s">
        <v>9537</v>
      </c>
      <c r="J4018" s="3" t="str">
        <f>HYPERLINK("https://www.boe.es/gazeta/dias/1818/08/06/pdfs/GMD-1818-94.pdf#page=6","Abrir facsímil")</f>
        <v>Abrir facsímil</v>
      </c>
      <c r="K4018" s="3" t="s">
        <v>38</v>
      </c>
    </row>
    <row r="4019" spans="1:11" ht="42" customHeight="1">
      <c r="A4019" s="2" t="s">
        <v>9538</v>
      </c>
      <c r="B4019" s="2" t="s">
        <v>9538</v>
      </c>
      <c r="C4019" s="2" t="s">
        <v>57</v>
      </c>
      <c r="D4019" s="2" t="s">
        <v>18</v>
      </c>
      <c r="E4019" s="5">
        <v>-29771</v>
      </c>
      <c r="F4019" s="3" t="s">
        <v>1260</v>
      </c>
      <c r="G4019" s="3" t="s">
        <v>85</v>
      </c>
      <c r="H4019" s="2" t="s">
        <v>36</v>
      </c>
      <c r="I4019" s="2" t="s">
        <v>9539</v>
      </c>
      <c r="J4019" s="3" t="str">
        <f>HYPERLINK("https://www.boe.es/gazeta/dias/1818/06/27/pdfs/GMD-1818-77.pdf#page=3","Abrir facsímil")</f>
        <v>Abrir facsímil</v>
      </c>
      <c r="K4019" s="3" t="s">
        <v>38</v>
      </c>
    </row>
    <row r="4020" spans="1:11" ht="42" customHeight="1">
      <c r="A4020" s="2" t="s">
        <v>9540</v>
      </c>
      <c r="B4020" s="2" t="s">
        <v>9540</v>
      </c>
      <c r="C4020" s="2" t="s">
        <v>68</v>
      </c>
      <c r="D4020" s="2" t="s">
        <v>69</v>
      </c>
      <c r="E4020" s="5">
        <v>-29638</v>
      </c>
      <c r="F4020" s="3" t="s">
        <v>307</v>
      </c>
      <c r="G4020" s="3" t="s">
        <v>49</v>
      </c>
      <c r="H4020" s="2" t="s">
        <v>36</v>
      </c>
      <c r="I4020" s="2" t="s">
        <v>9541</v>
      </c>
      <c r="J4020" s="3" t="str">
        <f>HYPERLINK("https://www.boe.es/gazeta/dias/1818/11/07/pdfs/GMD-1818-135.pdf#page=1","Abrir facsímil")</f>
        <v>Abrir facsímil</v>
      </c>
      <c r="K4020" s="3" t="s">
        <v>38</v>
      </c>
    </row>
    <row r="4021" spans="1:11" ht="42" customHeight="1">
      <c r="A4021" s="2" t="s">
        <v>9542</v>
      </c>
      <c r="B4021" s="2" t="s">
        <v>9542</v>
      </c>
      <c r="C4021" s="2" t="s">
        <v>215</v>
      </c>
      <c r="D4021" s="2" t="s">
        <v>18</v>
      </c>
      <c r="E4021" s="5">
        <v>-29932</v>
      </c>
      <c r="F4021" s="3" t="s">
        <v>34</v>
      </c>
      <c r="G4021" s="3" t="s">
        <v>29</v>
      </c>
      <c r="H4021" s="2" t="s">
        <v>36</v>
      </c>
      <c r="I4021" s="2" t="s">
        <v>9543</v>
      </c>
      <c r="J4021" s="3" t="str">
        <f>HYPERLINK("https://www.boe.es/gazeta/dias/1818/01/17/pdfs/GMD-1818-8.pdf#page=4","Abrir facsímil")</f>
        <v>Abrir facsímil</v>
      </c>
      <c r="K4021" s="3" t="s">
        <v>38</v>
      </c>
    </row>
    <row r="4022" spans="1:11" ht="42" customHeight="1">
      <c r="A4022" s="2" t="s">
        <v>9544</v>
      </c>
      <c r="B4022" s="2" t="s">
        <v>9545</v>
      </c>
      <c r="C4022" s="2" t="s">
        <v>68</v>
      </c>
      <c r="D4022" s="2" t="s">
        <v>69</v>
      </c>
      <c r="E4022" s="5">
        <v>-29810</v>
      </c>
      <c r="F4022" s="3" t="s">
        <v>222</v>
      </c>
      <c r="G4022" s="3" t="s">
        <v>85</v>
      </c>
      <c r="H4022" s="2" t="s">
        <v>36</v>
      </c>
      <c r="I4022" s="2" t="s">
        <v>9546</v>
      </c>
      <c r="J4022" s="3" t="str">
        <f>HYPERLINK("https://www.boe.es/gazeta/dias/1818/05/19/pdfs/GMD-1818-60.pdf#page=3","Abrir facsímil")</f>
        <v>Abrir facsímil</v>
      </c>
      <c r="K4022" s="3" t="s">
        <v>38</v>
      </c>
    </row>
    <row r="4023" spans="1:11" ht="42" customHeight="1">
      <c r="A4023" s="2" t="s">
        <v>9547</v>
      </c>
      <c r="B4023" s="2" t="s">
        <v>9548</v>
      </c>
      <c r="C4023" s="2" t="s">
        <v>68</v>
      </c>
      <c r="D4023" s="2" t="s">
        <v>69</v>
      </c>
      <c r="E4023" s="5">
        <v>-29932</v>
      </c>
      <c r="F4023" s="3" t="s">
        <v>34</v>
      </c>
      <c r="G4023" s="3" t="s">
        <v>5864</v>
      </c>
      <c r="H4023" s="2" t="s">
        <v>36</v>
      </c>
      <c r="I4023" s="2" t="s">
        <v>9549</v>
      </c>
      <c r="J4023" s="3" t="str">
        <f>HYPERLINK("https://www.boe.es/gazeta/dias/1818/01/17/pdfs/GMD-1818-8.pdf#page=1","Abrir facsímil")</f>
        <v>Abrir facsímil</v>
      </c>
      <c r="K4023" s="3" t="s">
        <v>38</v>
      </c>
    </row>
    <row r="4024" spans="1:11" ht="42" customHeight="1">
      <c r="A4024" s="2" t="s">
        <v>9550</v>
      </c>
      <c r="B4024" s="2" t="s">
        <v>9550</v>
      </c>
      <c r="C4024" s="2" t="s">
        <v>26</v>
      </c>
      <c r="D4024" s="2" t="s">
        <v>27</v>
      </c>
      <c r="E4024" s="5">
        <v>-29624</v>
      </c>
      <c r="F4024" s="3" t="s">
        <v>131</v>
      </c>
      <c r="G4024" s="3" t="s">
        <v>1230</v>
      </c>
      <c r="H4024" s="2" t="s">
        <v>36</v>
      </c>
      <c r="I4024" s="2" t="s">
        <v>9551</v>
      </c>
      <c r="J4024" s="3" t="str">
        <f>HYPERLINK("https://www.boe.es/gazeta/dias/1818/11/21/pdfs/GMD-1818-141.pdf#page=6","Abrir facsímil")</f>
        <v>Abrir facsímil</v>
      </c>
      <c r="K4024" s="3" t="s">
        <v>38</v>
      </c>
    </row>
    <row r="4025" spans="1:11" ht="42" customHeight="1">
      <c r="A4025" s="2" t="s">
        <v>9552</v>
      </c>
      <c r="B4025" s="2" t="s">
        <v>9553</v>
      </c>
      <c r="C4025" s="2" t="s">
        <v>26</v>
      </c>
      <c r="D4025" s="2" t="s">
        <v>27</v>
      </c>
      <c r="E4025" s="5">
        <v>-29663</v>
      </c>
      <c r="F4025" s="3" t="s">
        <v>1011</v>
      </c>
      <c r="G4025" s="3" t="s">
        <v>20</v>
      </c>
      <c r="H4025" s="2" t="s">
        <v>36</v>
      </c>
      <c r="I4025" s="2" t="s">
        <v>9554</v>
      </c>
      <c r="J4025" s="3" t="str">
        <f>HYPERLINK("https://www.boe.es/gazeta/dias/1818/10/13/pdfs/GMD-1818-123.pdf#page=7","Abrir facsímil")</f>
        <v>Abrir facsímil</v>
      </c>
      <c r="K4025" s="3" t="s">
        <v>38</v>
      </c>
    </row>
    <row r="4026" spans="1:11" ht="42" customHeight="1">
      <c r="A4026" s="2" t="s">
        <v>9555</v>
      </c>
      <c r="B4026" s="2" t="s">
        <v>9556</v>
      </c>
      <c r="C4026" s="2" t="s">
        <v>17</v>
      </c>
      <c r="D4026" s="2" t="s">
        <v>18</v>
      </c>
      <c r="E4026" s="5">
        <v>-29822</v>
      </c>
      <c r="F4026" s="3" t="s">
        <v>373</v>
      </c>
      <c r="G4026" s="3" t="s">
        <v>45</v>
      </c>
      <c r="H4026" s="2" t="s">
        <v>36</v>
      </c>
      <c r="I4026" s="2" t="s">
        <v>9557</v>
      </c>
      <c r="J4026" s="3" t="str">
        <f>HYPERLINK("https://www.boe.es/gazeta/dias/1818/05/07/pdfs/GMD-1818-55.pdf#page=8","Abrir facsímil")</f>
        <v>Abrir facsímil</v>
      </c>
      <c r="K4026" s="3" t="s">
        <v>38</v>
      </c>
    </row>
    <row r="4027" spans="1:11" ht="42" customHeight="1">
      <c r="A4027" s="2" t="s">
        <v>9558</v>
      </c>
      <c r="B4027" s="2" t="s">
        <v>9559</v>
      </c>
      <c r="C4027" s="2" t="s">
        <v>68</v>
      </c>
      <c r="D4027" s="2" t="s">
        <v>69</v>
      </c>
      <c r="E4027" s="5">
        <v>-29822</v>
      </c>
      <c r="F4027" s="3" t="s">
        <v>373</v>
      </c>
      <c r="G4027" s="3" t="s">
        <v>45</v>
      </c>
      <c r="H4027" s="2" t="s">
        <v>36</v>
      </c>
      <c r="I4027" s="2" t="s">
        <v>9560</v>
      </c>
      <c r="J4027" s="3" t="str">
        <f>HYPERLINK("https://www.boe.es/gazeta/dias/1818/05/07/pdfs/GMD-1818-55.pdf#page=8","Abrir facsímil")</f>
        <v>Abrir facsímil</v>
      </c>
      <c r="K4027" s="3" t="s">
        <v>38</v>
      </c>
    </row>
    <row r="4028" spans="1:11" ht="42" customHeight="1">
      <c r="A4028" s="2" t="s">
        <v>9561</v>
      </c>
      <c r="B4028" s="2" t="s">
        <v>9562</v>
      </c>
      <c r="C4028" s="2" t="s">
        <v>26</v>
      </c>
      <c r="D4028" s="2" t="s">
        <v>27</v>
      </c>
      <c r="E4028" s="5">
        <v>-29624</v>
      </c>
      <c r="F4028" s="3" t="s">
        <v>131</v>
      </c>
      <c r="G4028" s="3" t="s">
        <v>1230</v>
      </c>
      <c r="H4028" s="2" t="s">
        <v>36</v>
      </c>
      <c r="I4028" s="2" t="s">
        <v>9563</v>
      </c>
      <c r="J4028" s="3" t="str">
        <f>HYPERLINK("https://www.boe.es/gazeta/dias/1818/11/21/pdfs/GMD-1818-141.pdf#page=6","Abrir facsímil")</f>
        <v>Abrir facsímil</v>
      </c>
      <c r="K4028" s="3" t="s">
        <v>38</v>
      </c>
    </row>
    <row r="4029" spans="1:11" ht="42" customHeight="1">
      <c r="A4029" s="2" t="s">
        <v>9564</v>
      </c>
      <c r="B4029" s="2" t="s">
        <v>9565</v>
      </c>
      <c r="C4029" s="2" t="s">
        <v>33</v>
      </c>
      <c r="D4029" s="2" t="s">
        <v>18</v>
      </c>
      <c r="E4029" s="5">
        <v>-29932</v>
      </c>
      <c r="F4029" s="3" t="s">
        <v>34</v>
      </c>
      <c r="G4029" s="3" t="s">
        <v>35</v>
      </c>
      <c r="H4029" s="2" t="s">
        <v>36</v>
      </c>
      <c r="I4029" s="2" t="s">
        <v>9566</v>
      </c>
      <c r="J4029" s="3" t="str">
        <f>HYPERLINK("https://www.boe.es/gazeta/dias/1818/01/17/pdfs/GMD-1818-8.pdf#page=8","Abrir facsímil")</f>
        <v>Abrir facsímil</v>
      </c>
      <c r="K4029" s="3" t="s">
        <v>38</v>
      </c>
    </row>
    <row r="4030" spans="1:11" ht="42" customHeight="1">
      <c r="A4030" s="2" t="s">
        <v>9564</v>
      </c>
      <c r="B4030" s="2" t="s">
        <v>9565</v>
      </c>
      <c r="C4030" s="2" t="s">
        <v>33</v>
      </c>
      <c r="D4030" s="2" t="s">
        <v>18</v>
      </c>
      <c r="E4030" s="5">
        <v>-29892</v>
      </c>
      <c r="F4030" s="3" t="s">
        <v>39</v>
      </c>
      <c r="G4030" s="3" t="s">
        <v>40</v>
      </c>
      <c r="H4030" s="2" t="s">
        <v>36</v>
      </c>
      <c r="I4030" s="2" t="s">
        <v>9567</v>
      </c>
      <c r="J4030" s="3" t="str">
        <f>HYPERLINK("https://www.boe.es/gazeta/dias/1818/02/26/pdfs/GMD-1818-25.pdf#page=8","Abrir facsímil")</f>
        <v>Abrir facsímil</v>
      </c>
      <c r="K4030" s="3" t="s">
        <v>38</v>
      </c>
    </row>
    <row r="4031" spans="1:11" ht="42" customHeight="1">
      <c r="A4031" s="2" t="s">
        <v>9568</v>
      </c>
      <c r="B4031" s="2" t="s">
        <v>9569</v>
      </c>
      <c r="C4031" s="2" t="s">
        <v>26</v>
      </c>
      <c r="D4031" s="2" t="s">
        <v>27</v>
      </c>
      <c r="E4031" s="5">
        <v>-29806</v>
      </c>
      <c r="F4031" s="3" t="s">
        <v>84</v>
      </c>
      <c r="G4031" s="3" t="s">
        <v>85</v>
      </c>
      <c r="H4031" s="2" t="s">
        <v>36</v>
      </c>
      <c r="I4031" s="2" t="s">
        <v>9570</v>
      </c>
      <c r="J4031" s="3" t="str">
        <f>HYPERLINK("https://www.boe.es/gazeta/dias/1818/05/23/pdfs/GMD-1818-62.pdf#page=3","Abrir facsímil")</f>
        <v>Abrir facsímil</v>
      </c>
      <c r="K4031" s="3" t="s">
        <v>38</v>
      </c>
    </row>
    <row r="4032" spans="1:11" ht="42" customHeight="1">
      <c r="A4032" s="2" t="s">
        <v>9571</v>
      </c>
      <c r="B4032" s="2" t="s">
        <v>9572</v>
      </c>
      <c r="C4032" s="2" t="s">
        <v>63</v>
      </c>
      <c r="D4032" s="2" t="s">
        <v>18</v>
      </c>
      <c r="E4032" s="5">
        <v>-29698</v>
      </c>
      <c r="F4032" s="3" t="s">
        <v>148</v>
      </c>
      <c r="G4032" s="3" t="s">
        <v>20</v>
      </c>
      <c r="H4032" s="2" t="s">
        <v>36</v>
      </c>
      <c r="I4032" s="2" t="s">
        <v>9573</v>
      </c>
      <c r="J4032" s="3" t="str">
        <f>HYPERLINK("https://www.boe.es/gazeta/dias/1818/09/08/pdfs/GMD-1818-108.pdf#page=7","Abrir facsímil")</f>
        <v>Abrir facsímil</v>
      </c>
      <c r="K4032" s="3" t="s">
        <v>38</v>
      </c>
    </row>
    <row r="4033" spans="1:11" ht="42" customHeight="1">
      <c r="A4033" s="2" t="s">
        <v>9574</v>
      </c>
      <c r="B4033" s="2" t="s">
        <v>9574</v>
      </c>
      <c r="C4033" s="2" t="s">
        <v>26</v>
      </c>
      <c r="D4033" s="2" t="s">
        <v>27</v>
      </c>
      <c r="E4033" s="5">
        <v>-29845</v>
      </c>
      <c r="F4033" s="3" t="s">
        <v>105</v>
      </c>
      <c r="G4033" s="3" t="s">
        <v>833</v>
      </c>
      <c r="H4033" s="2" t="s">
        <v>36</v>
      </c>
      <c r="I4033" s="2" t="s">
        <v>9575</v>
      </c>
      <c r="J4033" s="3" t="str">
        <f>HYPERLINK("https://www.boe.es/gazeta/dias/1818/04/14/pdfs/GMD-1818-45.pdf#page=4","Abrir facsímil")</f>
        <v>Abrir facsímil</v>
      </c>
      <c r="K4033" s="3" t="s">
        <v>38</v>
      </c>
    </row>
    <row r="4034" spans="1:11" ht="42" customHeight="1">
      <c r="A4034" s="2" t="s">
        <v>9576</v>
      </c>
      <c r="B4034" s="2" t="s">
        <v>9576</v>
      </c>
      <c r="C4034" s="2" t="s">
        <v>97</v>
      </c>
      <c r="D4034" s="2" t="s">
        <v>18</v>
      </c>
      <c r="E4034" s="5">
        <v>-29901</v>
      </c>
      <c r="F4034" s="3" t="s">
        <v>417</v>
      </c>
      <c r="G4034" s="3" t="s">
        <v>29</v>
      </c>
      <c r="H4034" s="2" t="s">
        <v>36</v>
      </c>
      <c r="I4034" s="2" t="s">
        <v>9577</v>
      </c>
      <c r="J4034" s="3" t="str">
        <f>HYPERLINK("https://www.boe.es/gazeta/dias/1818/02/17/pdfs/GMD-1818-21.pdf#page=4","Abrir facsímil")</f>
        <v>Abrir facsímil</v>
      </c>
      <c r="K4034" s="3" t="s">
        <v>38</v>
      </c>
    </row>
    <row r="4035" spans="1:11" ht="42" customHeight="1">
      <c r="A4035" s="2" t="s">
        <v>9578</v>
      </c>
      <c r="B4035" s="2" t="s">
        <v>9579</v>
      </c>
      <c r="C4035" s="2" t="s">
        <v>26</v>
      </c>
      <c r="D4035" s="2" t="s">
        <v>27</v>
      </c>
      <c r="E4035" s="5">
        <v>-29775</v>
      </c>
      <c r="F4035" s="3" t="s">
        <v>1245</v>
      </c>
      <c r="G4035" s="3" t="s">
        <v>2994</v>
      </c>
      <c r="H4035" s="2" t="s">
        <v>36</v>
      </c>
      <c r="I4035" s="2" t="s">
        <v>9580</v>
      </c>
      <c r="J4035" s="3" t="str">
        <f>HYPERLINK("https://www.boe.es/gazeta/dias/1818/06/23/pdfs/GMD-1818-75.pdf#page=1","Abrir facsímil")</f>
        <v>Abrir facsímil</v>
      </c>
      <c r="K4035" s="3" t="s">
        <v>38</v>
      </c>
    </row>
    <row r="4036" spans="1:11" ht="42" customHeight="1">
      <c r="A4036" s="2" t="s">
        <v>9581</v>
      </c>
      <c r="B4036" s="2" t="s">
        <v>9582</v>
      </c>
      <c r="C4036" s="2" t="s">
        <v>26</v>
      </c>
      <c r="D4036" s="2" t="s">
        <v>27</v>
      </c>
      <c r="E4036" s="5">
        <v>-29897</v>
      </c>
      <c r="F4036" s="3" t="s">
        <v>318</v>
      </c>
      <c r="G4036" s="3" t="s">
        <v>85</v>
      </c>
      <c r="H4036" s="2" t="s">
        <v>21</v>
      </c>
      <c r="I4036" s="2" t="s">
        <v>9583</v>
      </c>
      <c r="J4036" s="3" t="str">
        <f>HYPERLINK("https://www.boe.es/gazeta/dias/1818/02/21/pdfs/GMD-1818-23.pdf#page=3","Abrir facsímil")</f>
        <v>Abrir facsímil</v>
      </c>
      <c r="K4036" s="3" t="s">
        <v>23</v>
      </c>
    </row>
    <row r="4037" spans="1:11" ht="42" customHeight="1">
      <c r="A4037" s="2" t="s">
        <v>9584</v>
      </c>
      <c r="B4037" s="2" t="s">
        <v>9585</v>
      </c>
      <c r="C4037" s="2" t="s">
        <v>57</v>
      </c>
      <c r="D4037" s="2" t="s">
        <v>18</v>
      </c>
      <c r="E4037" s="5">
        <v>-29810</v>
      </c>
      <c r="F4037" s="3" t="s">
        <v>222</v>
      </c>
      <c r="G4037" s="3" t="s">
        <v>3747</v>
      </c>
      <c r="H4037" s="2" t="s">
        <v>21</v>
      </c>
      <c r="I4037" s="2" t="s">
        <v>9586</v>
      </c>
      <c r="J4037" s="3" t="str">
        <f>HYPERLINK("https://www.boe.es/gazeta/dias/1818/05/19/pdfs/GMD-1818-60.pdf#page=5","Abrir facsímil")</f>
        <v>Abrir facsímil</v>
      </c>
      <c r="K4037" s="3" t="s">
        <v>23</v>
      </c>
    </row>
    <row r="4038" spans="1:11" ht="42" customHeight="1">
      <c r="A4038" s="2" t="s">
        <v>9587</v>
      </c>
      <c r="B4038" s="2" t="s">
        <v>9587</v>
      </c>
      <c r="C4038" s="2" t="s">
        <v>26</v>
      </c>
      <c r="D4038" s="2" t="s">
        <v>27</v>
      </c>
      <c r="E4038" s="5">
        <v>-29724</v>
      </c>
      <c r="F4038" s="3" t="s">
        <v>370</v>
      </c>
      <c r="G4038" s="3" t="s">
        <v>29</v>
      </c>
      <c r="H4038" s="2" t="s">
        <v>36</v>
      </c>
      <c r="I4038" s="2" t="s">
        <v>9588</v>
      </c>
      <c r="J4038" s="3" t="str">
        <f>HYPERLINK("https://www.boe.es/gazeta/dias/1818/08/13/pdfs/GMD-1818-97.pdf#page=4","Abrir facsímil")</f>
        <v>Abrir facsímil</v>
      </c>
      <c r="K4038" s="3" t="s">
        <v>38</v>
      </c>
    </row>
    <row r="4039" spans="1:11" ht="42" customHeight="1">
      <c r="A4039" s="2" t="s">
        <v>9589</v>
      </c>
      <c r="B4039" s="2" t="s">
        <v>9590</v>
      </c>
      <c r="C4039" s="2" t="s">
        <v>26</v>
      </c>
      <c r="D4039" s="2" t="s">
        <v>27</v>
      </c>
      <c r="E4039" s="5">
        <v>-29878</v>
      </c>
      <c r="F4039" s="3" t="s">
        <v>353</v>
      </c>
      <c r="G4039" s="3" t="s">
        <v>29</v>
      </c>
      <c r="H4039" s="2" t="s">
        <v>36</v>
      </c>
      <c r="I4039" s="2" t="s">
        <v>9591</v>
      </c>
      <c r="J4039" s="3" t="str">
        <f>HYPERLINK("https://www.boe.es/gazeta/dias/1818/03/12/pdfs/GMD-1818-31.pdf#page=4","Abrir facsímil")</f>
        <v>Abrir facsímil</v>
      </c>
      <c r="K4039" s="3" t="s">
        <v>38</v>
      </c>
    </row>
    <row r="4040" spans="1:11" ht="42" customHeight="1">
      <c r="A4040" s="2" t="s">
        <v>9592</v>
      </c>
      <c r="B4040" s="2" t="s">
        <v>9593</v>
      </c>
      <c r="C4040" s="2" t="s">
        <v>26</v>
      </c>
      <c r="D4040" s="2" t="s">
        <v>27</v>
      </c>
      <c r="E4040" s="5">
        <v>-29876</v>
      </c>
      <c r="F4040" s="3" t="s">
        <v>338</v>
      </c>
      <c r="G4040" s="3" t="s">
        <v>85</v>
      </c>
      <c r="H4040" s="2" t="s">
        <v>36</v>
      </c>
      <c r="I4040" s="2" t="s">
        <v>9594</v>
      </c>
      <c r="J4040" s="3" t="str">
        <f>HYPERLINK("https://www.boe.es/gazeta/dias/1818/03/14/pdfs/GMD-1818-32.pdf#page=3","Abrir facsímil")</f>
        <v>Abrir facsímil</v>
      </c>
      <c r="K4040" s="3" t="s">
        <v>38</v>
      </c>
    </row>
    <row r="4041" spans="1:11" ht="42" customHeight="1">
      <c r="A4041" s="2" t="s">
        <v>9595</v>
      </c>
      <c r="B4041" s="2" t="s">
        <v>9595</v>
      </c>
      <c r="C4041" s="2" t="s">
        <v>68</v>
      </c>
      <c r="D4041" s="2" t="s">
        <v>69</v>
      </c>
      <c r="E4041" s="5">
        <v>-29738</v>
      </c>
      <c r="F4041" s="3" t="s">
        <v>263</v>
      </c>
      <c r="G4041" s="3" t="s">
        <v>71</v>
      </c>
      <c r="H4041" s="2" t="s">
        <v>36</v>
      </c>
      <c r="I4041" s="2" t="s">
        <v>9596</v>
      </c>
      <c r="J4041" s="3" t="str">
        <f>HYPERLINK("https://www.boe.es/gazeta/dias/1818/07/30/pdfs/GMD-1818-91.pdf#page=16","Abrir facsímil")</f>
        <v>Abrir facsímil</v>
      </c>
      <c r="K4041" s="3" t="s">
        <v>38</v>
      </c>
    </row>
    <row r="4042" spans="1:11" ht="42" customHeight="1">
      <c r="A4042" s="2" t="s">
        <v>9597</v>
      </c>
      <c r="B4042" s="2" t="s">
        <v>9598</v>
      </c>
      <c r="C4042" s="2" t="s">
        <v>68</v>
      </c>
      <c r="D4042" s="2" t="s">
        <v>69</v>
      </c>
      <c r="E4042" s="5">
        <v>-29591</v>
      </c>
      <c r="F4042" s="3" t="s">
        <v>1414</v>
      </c>
      <c r="G4042" s="3" t="s">
        <v>106</v>
      </c>
      <c r="H4042" s="2" t="s">
        <v>36</v>
      </c>
      <c r="I4042" s="2" t="s">
        <v>9599</v>
      </c>
      <c r="J4042" s="3" t="str">
        <f>HYPERLINK("https://www.boe.es/gazeta/dias/1818/12/24/pdfs/GMD-1818-155.pdf#page=5","Abrir facsímil")</f>
        <v>Abrir facsímil</v>
      </c>
      <c r="K4042" s="3" t="s">
        <v>38</v>
      </c>
    </row>
    <row r="4043" spans="1:11" ht="42" customHeight="1">
      <c r="A4043" s="2" t="s">
        <v>9600</v>
      </c>
      <c r="B4043" s="2" t="s">
        <v>9601</v>
      </c>
      <c r="C4043" s="2" t="s">
        <v>63</v>
      </c>
      <c r="D4043" s="2" t="s">
        <v>18</v>
      </c>
      <c r="E4043" s="5">
        <v>-29764</v>
      </c>
      <c r="F4043" s="3" t="s">
        <v>464</v>
      </c>
      <c r="G4043" s="3" t="s">
        <v>45</v>
      </c>
      <c r="H4043" s="2" t="s">
        <v>36</v>
      </c>
      <c r="I4043" s="2" t="s">
        <v>9602</v>
      </c>
      <c r="J4043" s="3" t="str">
        <f>HYPERLINK("https://www.boe.es/gazeta/dias/1818/07/04/pdfs/GMD-1818-80.pdf#page=8","Abrir facsímil")</f>
        <v>Abrir facsímil</v>
      </c>
      <c r="K4043" s="3" t="s">
        <v>38</v>
      </c>
    </row>
    <row r="4044" spans="1:11" ht="42" customHeight="1">
      <c r="A4044" s="2" t="s">
        <v>9603</v>
      </c>
      <c r="B4044" s="2" t="s">
        <v>9603</v>
      </c>
      <c r="C4044" s="2" t="s">
        <v>26</v>
      </c>
      <c r="D4044" s="2" t="s">
        <v>27</v>
      </c>
      <c r="E4044" s="5">
        <v>-29673</v>
      </c>
      <c r="F4044" s="3" t="s">
        <v>1099</v>
      </c>
      <c r="G4044" s="3" t="s">
        <v>29</v>
      </c>
      <c r="H4044" s="2" t="s">
        <v>36</v>
      </c>
      <c r="I4044" s="2" t="s">
        <v>9604</v>
      </c>
      <c r="J4044" s="3" t="str">
        <f>HYPERLINK("https://www.boe.es/gazeta/dias/1818/10/03/pdfs/GMD-1818-119.pdf#page=4","Abrir facsímil")</f>
        <v>Abrir facsímil</v>
      </c>
      <c r="K4044" s="3" t="s">
        <v>38</v>
      </c>
    </row>
    <row r="4045" spans="1:11" ht="42" customHeight="1">
      <c r="A4045" s="2" t="s">
        <v>9603</v>
      </c>
      <c r="B4045" s="2" t="s">
        <v>9603</v>
      </c>
      <c r="C4045" s="2" t="s">
        <v>26</v>
      </c>
      <c r="D4045" s="2" t="s">
        <v>27</v>
      </c>
      <c r="E4045" s="5">
        <v>-29673</v>
      </c>
      <c r="F4045" s="3" t="s">
        <v>1099</v>
      </c>
      <c r="G4045" s="3" t="s">
        <v>106</v>
      </c>
      <c r="H4045" s="2" t="s">
        <v>36</v>
      </c>
      <c r="I4045" s="2" t="s">
        <v>9605</v>
      </c>
      <c r="J4045" s="3" t="str">
        <f>HYPERLINK("https://www.boe.es/gazeta/dias/1818/10/03/pdfs/GMD-1818-119.pdf#page=5","Abrir facsímil")</f>
        <v>Abrir facsímil</v>
      </c>
      <c r="K4045" s="3" t="s">
        <v>38</v>
      </c>
    </row>
    <row r="4046" spans="1:11" ht="42" customHeight="1">
      <c r="A4046" s="2" t="s">
        <v>9606</v>
      </c>
      <c r="B4046" s="2" t="s">
        <v>9607</v>
      </c>
      <c r="C4046" s="2" t="s">
        <v>26</v>
      </c>
      <c r="D4046" s="2" t="s">
        <v>27</v>
      </c>
      <c r="E4046" s="5">
        <v>-29673</v>
      </c>
      <c r="F4046" s="3" t="s">
        <v>1099</v>
      </c>
      <c r="G4046" s="3" t="s">
        <v>29</v>
      </c>
      <c r="H4046" s="2" t="s">
        <v>36</v>
      </c>
      <c r="I4046" s="2" t="s">
        <v>9608</v>
      </c>
      <c r="J4046" s="3" t="str">
        <f>HYPERLINK("https://www.boe.es/gazeta/dias/1818/10/03/pdfs/GMD-1818-119.pdf#page=4","Abrir facsímil")</f>
        <v>Abrir facsímil</v>
      </c>
      <c r="K4046" s="3" t="s">
        <v>38</v>
      </c>
    </row>
    <row r="4047" spans="1:11" ht="42" customHeight="1">
      <c r="A4047" s="2" t="s">
        <v>9606</v>
      </c>
      <c r="B4047" s="2" t="s">
        <v>9607</v>
      </c>
      <c r="C4047" s="2" t="s">
        <v>26</v>
      </c>
      <c r="D4047" s="2" t="s">
        <v>27</v>
      </c>
      <c r="E4047" s="5">
        <v>-29673</v>
      </c>
      <c r="F4047" s="3" t="s">
        <v>1099</v>
      </c>
      <c r="G4047" s="3" t="s">
        <v>106</v>
      </c>
      <c r="H4047" s="2" t="s">
        <v>36</v>
      </c>
      <c r="I4047" s="2" t="s">
        <v>9609</v>
      </c>
      <c r="J4047" s="3" t="str">
        <f>HYPERLINK("https://www.boe.es/gazeta/dias/1818/10/03/pdfs/GMD-1818-119.pdf#page=5","Abrir facsímil")</f>
        <v>Abrir facsímil</v>
      </c>
      <c r="K4047" s="3" t="s">
        <v>38</v>
      </c>
    </row>
    <row r="4048" spans="1:11" ht="42" customHeight="1">
      <c r="A4048" s="2" t="s">
        <v>9606</v>
      </c>
      <c r="B4048" s="2" t="s">
        <v>9607</v>
      </c>
      <c r="C4048" s="2" t="s">
        <v>26</v>
      </c>
      <c r="D4048" s="2" t="s">
        <v>27</v>
      </c>
      <c r="E4048" s="5">
        <v>-29670</v>
      </c>
      <c r="F4048" s="3" t="s">
        <v>48</v>
      </c>
      <c r="G4048" s="3" t="s">
        <v>106</v>
      </c>
      <c r="H4048" s="2" t="s">
        <v>36</v>
      </c>
      <c r="I4048" s="2" t="s">
        <v>9610</v>
      </c>
      <c r="J4048" s="3" t="str">
        <f>HYPERLINK("https://www.boe.es/gazeta/dias/1818/10/06/pdfs/GMD-1818-120.pdf#page=5","Abrir facsímil")</f>
        <v>Abrir facsímil</v>
      </c>
      <c r="K4048" s="3" t="s">
        <v>38</v>
      </c>
    </row>
    <row r="4049" spans="1:11" ht="42" customHeight="1">
      <c r="A4049" s="2" t="s">
        <v>9611</v>
      </c>
      <c r="B4049" s="2" t="s">
        <v>9612</v>
      </c>
      <c r="C4049" s="2" t="s">
        <v>215</v>
      </c>
      <c r="D4049" s="2" t="s">
        <v>18</v>
      </c>
      <c r="E4049" s="5">
        <v>-29876</v>
      </c>
      <c r="F4049" s="3" t="s">
        <v>338</v>
      </c>
      <c r="G4049" s="3" t="s">
        <v>339</v>
      </c>
      <c r="H4049" s="2" t="s">
        <v>36</v>
      </c>
      <c r="I4049" s="2" t="s">
        <v>9613</v>
      </c>
      <c r="J4049" s="3" t="str">
        <f>HYPERLINK("https://www.boe.es/gazeta/dias/1818/03/14/pdfs/GMD-1818-32.pdf#page=8","Abrir facsímil")</f>
        <v>Abrir facsímil</v>
      </c>
      <c r="K4049" s="3" t="s">
        <v>38</v>
      </c>
    </row>
    <row r="4050" spans="1:11" ht="42" customHeight="1">
      <c r="A4050" s="2" t="s">
        <v>9614</v>
      </c>
      <c r="B4050" s="2" t="s">
        <v>9615</v>
      </c>
      <c r="C4050" s="2" t="s">
        <v>26</v>
      </c>
      <c r="D4050" s="2" t="s">
        <v>27</v>
      </c>
      <c r="E4050" s="5">
        <v>-29589</v>
      </c>
      <c r="F4050" s="3" t="s">
        <v>210</v>
      </c>
      <c r="G4050" s="3" t="s">
        <v>106</v>
      </c>
      <c r="H4050" s="2" t="s">
        <v>36</v>
      </c>
      <c r="I4050" s="2" t="s">
        <v>9616</v>
      </c>
      <c r="J4050" s="3" t="str">
        <f>HYPERLINK("https://www.boe.es/gazeta/dias/1818/12/26/pdfs/GMD-1818-156.pdf#page=5","Abrir facsímil")</f>
        <v>Abrir facsímil</v>
      </c>
      <c r="K4050" s="3" t="s">
        <v>38</v>
      </c>
    </row>
    <row r="4051" spans="1:11" ht="42" customHeight="1">
      <c r="A4051" s="2" t="s">
        <v>9617</v>
      </c>
      <c r="B4051" s="2" t="s">
        <v>9618</v>
      </c>
      <c r="C4051" s="2" t="s">
        <v>68</v>
      </c>
      <c r="D4051" s="2" t="s">
        <v>69</v>
      </c>
      <c r="E4051" s="5">
        <v>-29593</v>
      </c>
      <c r="F4051" s="3" t="s">
        <v>185</v>
      </c>
      <c r="G4051" s="3" t="s">
        <v>20</v>
      </c>
      <c r="H4051" s="2" t="s">
        <v>36</v>
      </c>
      <c r="I4051" s="2" t="s">
        <v>9619</v>
      </c>
      <c r="J4051" s="3" t="str">
        <f>HYPERLINK("https://www.boe.es/gazeta/dias/1818/12/22/pdfs/GMD-1818-154.pdf#page=7","Abrir facsímil")</f>
        <v>Abrir facsímil</v>
      </c>
      <c r="K4051" s="3" t="s">
        <v>38</v>
      </c>
    </row>
    <row r="4052" spans="1:11" ht="42" customHeight="1">
      <c r="A4052" s="2" t="s">
        <v>9620</v>
      </c>
      <c r="B4052" s="2" t="s">
        <v>9621</v>
      </c>
      <c r="C4052" s="2" t="s">
        <v>63</v>
      </c>
      <c r="D4052" s="2" t="s">
        <v>18</v>
      </c>
      <c r="E4052" s="5">
        <v>-29729</v>
      </c>
      <c r="F4052" s="3" t="s">
        <v>488</v>
      </c>
      <c r="G4052" s="3" t="s">
        <v>489</v>
      </c>
      <c r="H4052" s="2" t="s">
        <v>36</v>
      </c>
      <c r="I4052" s="2" t="s">
        <v>9622</v>
      </c>
      <c r="J4052" s="3" t="str">
        <f>HYPERLINK("https://www.boe.es/gazeta/dias/1818/08/08/pdfs/GMD-1818-95.pdf#page=8","Abrir facsímil")</f>
        <v>Abrir facsímil</v>
      </c>
      <c r="K4052" s="3" t="s">
        <v>38</v>
      </c>
    </row>
    <row r="4053" spans="1:11" ht="42" customHeight="1">
      <c r="A4053" s="2" t="s">
        <v>9623</v>
      </c>
      <c r="B4053" s="2" t="s">
        <v>9623</v>
      </c>
      <c r="C4053" s="2" t="s">
        <v>26</v>
      </c>
      <c r="D4053" s="2" t="s">
        <v>27</v>
      </c>
      <c r="E4053" s="5">
        <v>-29911</v>
      </c>
      <c r="F4053" s="3" t="s">
        <v>509</v>
      </c>
      <c r="G4053" s="3" t="s">
        <v>106</v>
      </c>
      <c r="H4053" s="2" t="s">
        <v>36</v>
      </c>
      <c r="I4053" s="2" t="s">
        <v>9624</v>
      </c>
      <c r="J4053" s="3" t="str">
        <f>HYPERLINK("https://www.boe.es/gazeta/dias/1818/02/07/pdfs/GMD-1818-17.pdf#page=5","Abrir facsímil")</f>
        <v>Abrir facsímil</v>
      </c>
      <c r="K4053" s="3" t="s">
        <v>38</v>
      </c>
    </row>
    <row r="4054" spans="1:11" ht="42" customHeight="1">
      <c r="A4054" s="2" t="s">
        <v>9625</v>
      </c>
      <c r="B4054" s="2" t="s">
        <v>9626</v>
      </c>
      <c r="C4054" s="2" t="s">
        <v>26</v>
      </c>
      <c r="D4054" s="2" t="s">
        <v>27</v>
      </c>
      <c r="E4054" s="5">
        <v>-29911</v>
      </c>
      <c r="F4054" s="3" t="s">
        <v>509</v>
      </c>
      <c r="G4054" s="3" t="s">
        <v>106</v>
      </c>
      <c r="H4054" s="2" t="s">
        <v>36</v>
      </c>
      <c r="I4054" s="2" t="s">
        <v>9627</v>
      </c>
      <c r="J4054" s="3" t="str">
        <f>HYPERLINK("https://www.boe.es/gazeta/dias/1818/02/07/pdfs/GMD-1818-17.pdf#page=5","Abrir facsímil")</f>
        <v>Abrir facsímil</v>
      </c>
      <c r="K4054" s="3" t="s">
        <v>38</v>
      </c>
    </row>
    <row r="4055" spans="1:11" ht="42" customHeight="1">
      <c r="A4055" s="2" t="s">
        <v>9628</v>
      </c>
      <c r="B4055" s="2" t="s">
        <v>9629</v>
      </c>
      <c r="C4055" s="2" t="s">
        <v>26</v>
      </c>
      <c r="D4055" s="2" t="s">
        <v>27</v>
      </c>
      <c r="E4055" s="5">
        <v>-29934</v>
      </c>
      <c r="F4055" s="3" t="s">
        <v>53</v>
      </c>
      <c r="G4055" s="3" t="s">
        <v>59</v>
      </c>
      <c r="H4055" s="2" t="s">
        <v>36</v>
      </c>
      <c r="I4055" s="2" t="s">
        <v>9630</v>
      </c>
      <c r="J4055" s="3" t="str">
        <f>HYPERLINK("https://www.boe.es/gazeta/dias/1818/01/15/pdfs/GMD-1818-7.pdf#page=6","Abrir facsímil")</f>
        <v>Abrir facsímil</v>
      </c>
      <c r="K4055" s="3" t="s">
        <v>38</v>
      </c>
    </row>
    <row r="4056" spans="1:11" ht="42" customHeight="1">
      <c r="A4056" s="2" t="s">
        <v>9631</v>
      </c>
      <c r="B4056" s="2" t="s">
        <v>9632</v>
      </c>
      <c r="C4056" s="2" t="s">
        <v>17</v>
      </c>
      <c r="D4056" s="2" t="s">
        <v>18</v>
      </c>
      <c r="E4056" s="5">
        <v>-29901</v>
      </c>
      <c r="F4056" s="3" t="s">
        <v>417</v>
      </c>
      <c r="G4056" s="3" t="s">
        <v>49</v>
      </c>
      <c r="H4056" s="2" t="s">
        <v>36</v>
      </c>
      <c r="I4056" s="2" t="s">
        <v>9633</v>
      </c>
      <c r="J4056" s="3" t="str">
        <f>HYPERLINK("https://www.boe.es/gazeta/dias/1818/02/17/pdfs/GMD-1818-21.pdf#page=1","Abrir facsímil")</f>
        <v>Abrir facsímil</v>
      </c>
      <c r="K4056" s="3" t="s">
        <v>38</v>
      </c>
    </row>
    <row r="4057" spans="1:11" ht="42" customHeight="1">
      <c r="A4057" s="2" t="s">
        <v>9634</v>
      </c>
      <c r="B4057" s="2" t="s">
        <v>9635</v>
      </c>
      <c r="C4057" s="2" t="s">
        <v>68</v>
      </c>
      <c r="D4057" s="2" t="s">
        <v>69</v>
      </c>
      <c r="E4057" s="5">
        <v>-29782</v>
      </c>
      <c r="F4057" s="3" t="s">
        <v>226</v>
      </c>
      <c r="G4057" s="3" t="s">
        <v>20</v>
      </c>
      <c r="H4057" s="2" t="s">
        <v>36</v>
      </c>
      <c r="I4057" s="2" t="s">
        <v>9636</v>
      </c>
      <c r="J4057" s="3" t="str">
        <f>HYPERLINK("https://www.boe.es/gazeta/dias/1818/06/16/pdfs/GMD-1818-72.pdf#page=7","Abrir facsímil")</f>
        <v>Abrir facsímil</v>
      </c>
      <c r="K4057" s="3" t="s">
        <v>38</v>
      </c>
    </row>
    <row r="4058" spans="1:11" ht="42" customHeight="1">
      <c r="A4058" s="2" t="s">
        <v>9637</v>
      </c>
      <c r="B4058" s="2" t="s">
        <v>9638</v>
      </c>
      <c r="C4058" s="2" t="s">
        <v>63</v>
      </c>
      <c r="D4058" s="2" t="s">
        <v>18</v>
      </c>
      <c r="E4058" s="5">
        <v>-29600</v>
      </c>
      <c r="F4058" s="3" t="s">
        <v>697</v>
      </c>
      <c r="G4058" s="3" t="s">
        <v>45</v>
      </c>
      <c r="H4058" s="2" t="s">
        <v>21</v>
      </c>
      <c r="I4058" s="2" t="s">
        <v>9639</v>
      </c>
      <c r="J4058" s="3" t="str">
        <f>HYPERLINK("https://www.boe.es/gazeta/dias/1818/12/15/pdfs/GMD-1818-151.pdf#page=8","Abrir facsímil")</f>
        <v>Abrir facsímil</v>
      </c>
      <c r="K4058" s="3" t="s">
        <v>23</v>
      </c>
    </row>
    <row r="4059" spans="1:11" ht="42" customHeight="1">
      <c r="A4059" s="2" t="s">
        <v>9640</v>
      </c>
      <c r="B4059" s="2" t="s">
        <v>9641</v>
      </c>
      <c r="C4059" s="2" t="s">
        <v>26</v>
      </c>
      <c r="D4059" s="2" t="s">
        <v>27</v>
      </c>
      <c r="E4059" s="5">
        <v>-29759</v>
      </c>
      <c r="F4059" s="3" t="s">
        <v>405</v>
      </c>
      <c r="G4059" s="3" t="s">
        <v>20</v>
      </c>
      <c r="H4059" s="2" t="s">
        <v>36</v>
      </c>
      <c r="I4059" s="2" t="s">
        <v>9642</v>
      </c>
      <c r="J4059" s="3" t="str">
        <f>HYPERLINK("https://www.boe.es/gazeta/dias/1818/07/09/pdfs/GMD-1818-82.pdf#page=7","Abrir facsímil")</f>
        <v>Abrir facsímil</v>
      </c>
      <c r="K4059" s="3" t="s">
        <v>38</v>
      </c>
    </row>
    <row r="4060" spans="1:11" ht="42" customHeight="1">
      <c r="A4060" s="2" t="s">
        <v>9643</v>
      </c>
      <c r="B4060" s="2" t="s">
        <v>9644</v>
      </c>
      <c r="C4060" s="2" t="s">
        <v>26</v>
      </c>
      <c r="D4060" s="2" t="s">
        <v>27</v>
      </c>
      <c r="E4060" s="5">
        <v>-29897</v>
      </c>
      <c r="F4060" s="3" t="s">
        <v>318</v>
      </c>
      <c r="G4060" s="3" t="s">
        <v>29</v>
      </c>
      <c r="H4060" s="2" t="s">
        <v>36</v>
      </c>
      <c r="I4060" s="2" t="s">
        <v>9645</v>
      </c>
      <c r="J4060" s="3" t="str">
        <f>HYPERLINK("https://www.boe.es/gazeta/dias/1818/02/21/pdfs/GMD-1818-23.pdf#page=4","Abrir facsímil")</f>
        <v>Abrir facsímil</v>
      </c>
      <c r="K4060" s="3" t="s">
        <v>38</v>
      </c>
    </row>
    <row r="4061" spans="1:11" ht="42" customHeight="1">
      <c r="A4061" s="2" t="s">
        <v>9646</v>
      </c>
      <c r="B4061" s="2" t="s">
        <v>9647</v>
      </c>
      <c r="C4061" s="2" t="s">
        <v>97</v>
      </c>
      <c r="D4061" s="2" t="s">
        <v>18</v>
      </c>
      <c r="E4061" s="5">
        <v>-29621</v>
      </c>
      <c r="F4061" s="3" t="s">
        <v>1561</v>
      </c>
      <c r="G4061" s="3" t="s">
        <v>45</v>
      </c>
      <c r="H4061" s="2" t="s">
        <v>36</v>
      </c>
      <c r="I4061" s="2" t="s">
        <v>9648</v>
      </c>
      <c r="J4061" s="3" t="str">
        <f>HYPERLINK("https://www.boe.es/gazeta/dias/1818/11/24/pdfs/GMD-1818-142.pdf#page=8","Abrir facsímil")</f>
        <v>Abrir facsímil</v>
      </c>
      <c r="K4061" s="3" t="s">
        <v>38</v>
      </c>
    </row>
    <row r="4062" spans="1:11" ht="42" customHeight="1">
      <c r="A4062" s="2" t="s">
        <v>9649</v>
      </c>
      <c r="B4062" s="2" t="s">
        <v>9650</v>
      </c>
      <c r="C4062" s="2" t="s">
        <v>57</v>
      </c>
      <c r="D4062" s="2" t="s">
        <v>18</v>
      </c>
      <c r="E4062" s="5">
        <v>-29689</v>
      </c>
      <c r="F4062" s="3" t="s">
        <v>303</v>
      </c>
      <c r="G4062" s="3" t="s">
        <v>20</v>
      </c>
      <c r="H4062" s="2" t="s">
        <v>36</v>
      </c>
      <c r="I4062" s="2" t="s">
        <v>9651</v>
      </c>
      <c r="J4062" s="3" t="str">
        <f>HYPERLINK("https://www.boe.es/gazeta/dias/1818/09/17/pdfs/GMD-1818-112.pdf#page=7","Abrir facsímil")</f>
        <v>Abrir facsímil</v>
      </c>
      <c r="K4062" s="3" t="s">
        <v>38</v>
      </c>
    </row>
    <row r="4063" spans="1:11" ht="42" customHeight="1">
      <c r="A4063" s="2" t="s">
        <v>9652</v>
      </c>
      <c r="B4063" s="2" t="s">
        <v>9653</v>
      </c>
      <c r="C4063" s="2" t="s">
        <v>26</v>
      </c>
      <c r="D4063" s="2" t="s">
        <v>27</v>
      </c>
      <c r="E4063" s="5">
        <v>-29705</v>
      </c>
      <c r="F4063" s="3" t="s">
        <v>680</v>
      </c>
      <c r="G4063" s="3" t="s">
        <v>106</v>
      </c>
      <c r="H4063" s="2" t="s">
        <v>36</v>
      </c>
      <c r="I4063" s="2" t="s">
        <v>9654</v>
      </c>
      <c r="J4063" s="3" t="str">
        <f>HYPERLINK("https://www.boe.es/gazeta/dias/1818/09/01/pdfs/GMD-1818-105.pdf#page=5","Abrir facsímil")</f>
        <v>Abrir facsímil</v>
      </c>
      <c r="K4063" s="3" t="s">
        <v>38</v>
      </c>
    </row>
    <row r="4064" spans="1:11" ht="42" customHeight="1">
      <c r="A4064" s="2" t="s">
        <v>9655</v>
      </c>
      <c r="B4064" s="2" t="s">
        <v>9656</v>
      </c>
      <c r="C4064" s="2" t="s">
        <v>63</v>
      </c>
      <c r="D4064" s="2" t="s">
        <v>18</v>
      </c>
      <c r="E4064" s="5">
        <v>-29929</v>
      </c>
      <c r="F4064" s="3" t="s">
        <v>204</v>
      </c>
      <c r="G4064" s="3" t="s">
        <v>59</v>
      </c>
      <c r="H4064" s="2" t="s">
        <v>36</v>
      </c>
      <c r="I4064" s="2" t="s">
        <v>9657</v>
      </c>
      <c r="J4064" s="3" t="str">
        <f>HYPERLINK("https://www.boe.es/gazeta/dias/1818/01/20/pdfs/GMD-1818-9.pdf#page=6","Abrir facsímil")</f>
        <v>Abrir facsímil</v>
      </c>
      <c r="K4064" s="3" t="s">
        <v>38</v>
      </c>
    </row>
    <row r="4065" spans="1:11" ht="42" customHeight="1">
      <c r="A4065" s="2" t="s">
        <v>9658</v>
      </c>
      <c r="B4065" s="2" t="s">
        <v>9659</v>
      </c>
      <c r="C4065" s="2" t="s">
        <v>26</v>
      </c>
      <c r="D4065" s="2" t="s">
        <v>27</v>
      </c>
      <c r="E4065" s="5">
        <v>-29897</v>
      </c>
      <c r="F4065" s="3" t="s">
        <v>318</v>
      </c>
      <c r="G4065" s="3" t="s">
        <v>29</v>
      </c>
      <c r="H4065" s="2" t="s">
        <v>36</v>
      </c>
      <c r="I4065" s="2" t="s">
        <v>9660</v>
      </c>
      <c r="J4065" s="3" t="str">
        <f>HYPERLINK("https://www.boe.es/gazeta/dias/1818/02/21/pdfs/GMD-1818-23.pdf#page=4","Abrir facsímil")</f>
        <v>Abrir facsímil</v>
      </c>
      <c r="K4065" s="3" t="s">
        <v>38</v>
      </c>
    </row>
    <row r="4066" spans="1:11" ht="42" customHeight="1">
      <c r="A4066" s="2" t="s">
        <v>9661</v>
      </c>
      <c r="B4066" s="2" t="s">
        <v>9662</v>
      </c>
      <c r="C4066" s="2" t="s">
        <v>26</v>
      </c>
      <c r="D4066" s="2" t="s">
        <v>27</v>
      </c>
      <c r="E4066" s="5">
        <v>-29899</v>
      </c>
      <c r="F4066" s="3" t="s">
        <v>232</v>
      </c>
      <c r="G4066" s="3" t="s">
        <v>45</v>
      </c>
      <c r="H4066" s="2" t="s">
        <v>36</v>
      </c>
      <c r="I4066" s="2" t="s">
        <v>9663</v>
      </c>
      <c r="J4066" s="3" t="str">
        <f>HYPERLINK("https://www.boe.es/gazeta/dias/1818/02/19/pdfs/GMD-1818-22.pdf#page=8","Abrir facsímil")</f>
        <v>Abrir facsímil</v>
      </c>
      <c r="K4066" s="3" t="s">
        <v>38</v>
      </c>
    </row>
    <row r="4067" spans="1:11" ht="42" customHeight="1">
      <c r="A4067" s="2" t="s">
        <v>9664</v>
      </c>
      <c r="B4067" s="2" t="s">
        <v>9665</v>
      </c>
      <c r="C4067" s="2" t="s">
        <v>26</v>
      </c>
      <c r="D4067" s="2" t="s">
        <v>27</v>
      </c>
      <c r="E4067" s="5">
        <v>-29852</v>
      </c>
      <c r="F4067" s="3" t="s">
        <v>327</v>
      </c>
      <c r="G4067" s="3" t="s">
        <v>45</v>
      </c>
      <c r="H4067" s="2" t="s">
        <v>36</v>
      </c>
      <c r="I4067" s="2" t="s">
        <v>9666</v>
      </c>
      <c r="J4067" s="3" t="str">
        <f>HYPERLINK("https://www.boe.es/gazeta/dias/1818/04/07/pdfs/GMD-1818-42.pdf#page=8","Abrir facsímil")</f>
        <v>Abrir facsímil</v>
      </c>
      <c r="K4067" s="3" t="s">
        <v>38</v>
      </c>
    </row>
    <row r="4068" spans="1:11" ht="42" customHeight="1">
      <c r="A4068" s="2" t="s">
        <v>9667</v>
      </c>
      <c r="B4068" s="2" t="s">
        <v>9668</v>
      </c>
      <c r="C4068" s="2" t="s">
        <v>26</v>
      </c>
      <c r="D4068" s="2" t="s">
        <v>27</v>
      </c>
      <c r="E4068" s="5">
        <v>-29897</v>
      </c>
      <c r="F4068" s="3" t="s">
        <v>318</v>
      </c>
      <c r="G4068" s="3" t="s">
        <v>29</v>
      </c>
      <c r="H4068" s="2" t="s">
        <v>36</v>
      </c>
      <c r="I4068" s="2" t="s">
        <v>9669</v>
      </c>
      <c r="J4068" s="3" t="str">
        <f>HYPERLINK("https://www.boe.es/gazeta/dias/1818/02/21/pdfs/GMD-1818-23.pdf#page=4","Abrir facsímil")</f>
        <v>Abrir facsímil</v>
      </c>
      <c r="K4068" s="3" t="s">
        <v>38</v>
      </c>
    </row>
    <row r="4069" spans="1:11" ht="42" customHeight="1">
      <c r="A4069" s="2" t="s">
        <v>9670</v>
      </c>
      <c r="B4069" s="2" t="s">
        <v>9670</v>
      </c>
      <c r="C4069" s="2" t="s">
        <v>63</v>
      </c>
      <c r="D4069" s="2" t="s">
        <v>18</v>
      </c>
      <c r="E4069" s="5">
        <v>-29829</v>
      </c>
      <c r="F4069" s="3" t="s">
        <v>44</v>
      </c>
      <c r="G4069" s="3" t="s">
        <v>45</v>
      </c>
      <c r="H4069" s="2" t="s">
        <v>36</v>
      </c>
      <c r="I4069" s="2" t="s">
        <v>9671</v>
      </c>
      <c r="J4069" s="3" t="str">
        <f>HYPERLINK("https://www.boe.es/gazeta/dias/1818/04/30/pdfs/GMD-1818-52.pdf#page=8","Abrir facsímil")</f>
        <v>Abrir facsímil</v>
      </c>
      <c r="K4069" s="3" t="s">
        <v>38</v>
      </c>
    </row>
    <row r="4070" spans="1:11" ht="42" customHeight="1">
      <c r="A4070" s="2" t="s">
        <v>9672</v>
      </c>
      <c r="B4070" s="2" t="s">
        <v>9673</v>
      </c>
      <c r="C4070" s="2" t="s">
        <v>26</v>
      </c>
      <c r="D4070" s="2" t="s">
        <v>27</v>
      </c>
      <c r="E4070" s="5">
        <v>-29794</v>
      </c>
      <c r="F4070" s="3" t="s">
        <v>127</v>
      </c>
      <c r="G4070" s="3" t="s">
        <v>49</v>
      </c>
      <c r="H4070" s="2" t="s">
        <v>36</v>
      </c>
      <c r="I4070" s="2" t="s">
        <v>9674</v>
      </c>
      <c r="J4070" s="3" t="str">
        <f>HYPERLINK("https://www.boe.es/gazeta/dias/1818/06/04/pdfs/GMD-1818-67.pdf#page=1","Abrir facsímil")</f>
        <v>Abrir facsímil</v>
      </c>
      <c r="K4070" s="3" t="s">
        <v>38</v>
      </c>
    </row>
    <row r="4071" spans="1:11" ht="42" customHeight="1">
      <c r="A4071" s="2" t="s">
        <v>9675</v>
      </c>
      <c r="B4071" s="2" t="s">
        <v>9676</v>
      </c>
      <c r="C4071" s="2" t="s">
        <v>68</v>
      </c>
      <c r="D4071" s="2" t="s">
        <v>69</v>
      </c>
      <c r="E4071" s="5">
        <v>-29617</v>
      </c>
      <c r="F4071" s="3" t="s">
        <v>995</v>
      </c>
      <c r="G4071" s="3" t="s">
        <v>59</v>
      </c>
      <c r="H4071" s="2" t="s">
        <v>21</v>
      </c>
      <c r="I4071" s="2" t="s">
        <v>9677</v>
      </c>
      <c r="J4071" s="3" t="str">
        <f>HYPERLINK("https://www.boe.es/gazeta/dias/1818/11/28/pdfs/GMD-1818-144.pdf#page=6","Abrir facsímil")</f>
        <v>Abrir facsímil</v>
      </c>
      <c r="K4071" s="3" t="s">
        <v>23</v>
      </c>
    </row>
    <row r="4072" spans="1:11" ht="42" customHeight="1">
      <c r="A4072" s="2" t="s">
        <v>9678</v>
      </c>
      <c r="B4072" s="2" t="s">
        <v>9678</v>
      </c>
      <c r="C4072" s="2" t="s">
        <v>26</v>
      </c>
      <c r="D4072" s="2" t="s">
        <v>27</v>
      </c>
      <c r="E4072" s="5">
        <v>-29925</v>
      </c>
      <c r="F4072" s="3" t="s">
        <v>447</v>
      </c>
      <c r="G4072" s="3" t="s">
        <v>120</v>
      </c>
      <c r="H4072" s="2" t="s">
        <v>36</v>
      </c>
      <c r="I4072" s="2" t="s">
        <v>9679</v>
      </c>
      <c r="J4072" s="3" t="str">
        <f>HYPERLINK("https://www.boe.es/gazeta/dias/1818/01/24/pdfs/GMD-1818-11.pdf#page=2","Abrir facsímil")</f>
        <v>Abrir facsímil</v>
      </c>
      <c r="K4072" s="3" t="s">
        <v>38</v>
      </c>
    </row>
    <row r="4073" spans="1:11" ht="42" customHeight="1">
      <c r="A4073" s="2" t="s">
        <v>9680</v>
      </c>
      <c r="B4073" s="2" t="s">
        <v>9681</v>
      </c>
      <c r="C4073" s="2" t="s">
        <v>26</v>
      </c>
      <c r="D4073" s="2" t="s">
        <v>27</v>
      </c>
      <c r="E4073" s="5">
        <v>-29939</v>
      </c>
      <c r="F4073" s="3" t="s">
        <v>110</v>
      </c>
      <c r="G4073" s="3" t="s">
        <v>9682</v>
      </c>
      <c r="H4073" s="2" t="s">
        <v>36</v>
      </c>
      <c r="I4073" s="2" t="s">
        <v>9683</v>
      </c>
      <c r="J4073" s="3" t="str">
        <f>HYPERLINK("https://www.boe.es/gazeta/dias/1818/01/10/pdfs/GMD-1818-5.pdf#page=6","Abrir facsímil")</f>
        <v>Abrir facsímil</v>
      </c>
      <c r="K4073" s="3" t="s">
        <v>38</v>
      </c>
    </row>
    <row r="4074" spans="1:11" ht="42" customHeight="1">
      <c r="A4074" s="2" t="s">
        <v>9684</v>
      </c>
      <c r="B4074" s="2" t="s">
        <v>9685</v>
      </c>
      <c r="C4074" s="2" t="s">
        <v>26</v>
      </c>
      <c r="D4074" s="2" t="s">
        <v>27</v>
      </c>
      <c r="E4074" s="5">
        <v>-29701</v>
      </c>
      <c r="F4074" s="3" t="s">
        <v>596</v>
      </c>
      <c r="G4074" s="3" t="s">
        <v>59</v>
      </c>
      <c r="H4074" s="2" t="s">
        <v>36</v>
      </c>
      <c r="I4074" s="2" t="s">
        <v>9686</v>
      </c>
      <c r="J4074" s="3" t="str">
        <f>HYPERLINK("https://www.boe.es/gazeta/dias/1818/09/05/pdfs/GMD-1818-107.pdf#page=6","Abrir facsímil")</f>
        <v>Abrir facsímil</v>
      </c>
      <c r="K4074" s="3" t="s">
        <v>38</v>
      </c>
    </row>
    <row r="4075" spans="1:11" ht="42" customHeight="1">
      <c r="A4075" s="2" t="s">
        <v>9687</v>
      </c>
      <c r="B4075" s="2" t="s">
        <v>9687</v>
      </c>
      <c r="C4075" s="2" t="s">
        <v>26</v>
      </c>
      <c r="D4075" s="2" t="s">
        <v>27</v>
      </c>
      <c r="E4075" s="5">
        <v>-29673</v>
      </c>
      <c r="F4075" s="3" t="s">
        <v>1099</v>
      </c>
      <c r="G4075" s="3" t="s">
        <v>85</v>
      </c>
      <c r="H4075" s="2" t="s">
        <v>36</v>
      </c>
      <c r="I4075" s="2" t="s">
        <v>9688</v>
      </c>
      <c r="J4075" s="3" t="str">
        <f>HYPERLINK("https://www.boe.es/gazeta/dias/1818/10/03/pdfs/GMD-1818-119.pdf#page=3","Abrir facsímil")</f>
        <v>Abrir facsímil</v>
      </c>
      <c r="K4075" s="3" t="s">
        <v>38</v>
      </c>
    </row>
    <row r="4076" spans="1:11" ht="42" customHeight="1">
      <c r="A4076" s="2" t="s">
        <v>9689</v>
      </c>
      <c r="B4076" s="2" t="s">
        <v>9689</v>
      </c>
      <c r="C4076" s="2" t="s">
        <v>26</v>
      </c>
      <c r="D4076" s="2" t="s">
        <v>27</v>
      </c>
      <c r="E4076" s="5">
        <v>-29649</v>
      </c>
      <c r="F4076" s="3" t="s">
        <v>585</v>
      </c>
      <c r="G4076" s="3" t="s">
        <v>49</v>
      </c>
      <c r="H4076" s="2" t="s">
        <v>36</v>
      </c>
      <c r="I4076" s="2" t="s">
        <v>9690</v>
      </c>
      <c r="J4076" s="3" t="str">
        <f>HYPERLINK("https://www.boe.es/gazeta/dias/1818/10/27/pdfs/GMD-1818-130.pdf#page=1","Abrir facsímil")</f>
        <v>Abrir facsímil</v>
      </c>
      <c r="K4076" s="3" t="s">
        <v>38</v>
      </c>
    </row>
    <row r="4077" spans="1:11" ht="42" customHeight="1">
      <c r="A4077" s="2" t="s">
        <v>9691</v>
      </c>
      <c r="B4077" s="2" t="s">
        <v>9691</v>
      </c>
      <c r="C4077" s="2" t="s">
        <v>17</v>
      </c>
      <c r="D4077" s="2" t="s">
        <v>18</v>
      </c>
      <c r="E4077" s="5">
        <v>-29666</v>
      </c>
      <c r="F4077" s="3" t="s">
        <v>258</v>
      </c>
      <c r="G4077" s="3" t="s">
        <v>20</v>
      </c>
      <c r="H4077" s="2" t="s">
        <v>36</v>
      </c>
      <c r="I4077" s="2" t="s">
        <v>9692</v>
      </c>
      <c r="J4077" s="3" t="str">
        <f>HYPERLINK("https://www.boe.es/gazeta/dias/1818/10/10/pdfs/GMD-1818-122.pdf#page=7","Abrir facsímil")</f>
        <v>Abrir facsímil</v>
      </c>
      <c r="K4077" s="3" t="s">
        <v>38</v>
      </c>
    </row>
    <row r="4078" spans="1:11" ht="42" customHeight="1">
      <c r="A4078" s="2" t="s">
        <v>9693</v>
      </c>
      <c r="B4078" s="2" t="s">
        <v>9694</v>
      </c>
      <c r="C4078" s="2" t="s">
        <v>26</v>
      </c>
      <c r="D4078" s="2" t="s">
        <v>27</v>
      </c>
      <c r="E4078" s="5">
        <v>-29642</v>
      </c>
      <c r="F4078" s="3" t="s">
        <v>248</v>
      </c>
      <c r="G4078" s="3" t="s">
        <v>249</v>
      </c>
      <c r="H4078" s="2" t="s">
        <v>36</v>
      </c>
      <c r="I4078" s="2" t="s">
        <v>9695</v>
      </c>
      <c r="J4078" s="3" t="str">
        <f>HYPERLINK("https://www.boe.es/gazeta/dias/1818/11/03/pdfs/GMD-1818-133.pdf#page=8","Abrir facsímil")</f>
        <v>Abrir facsímil</v>
      </c>
      <c r="K4078" s="3" t="s">
        <v>38</v>
      </c>
    </row>
    <row r="4079" spans="1:11" ht="42" customHeight="1">
      <c r="A4079" s="2" t="s">
        <v>9696</v>
      </c>
      <c r="B4079" s="2" t="s">
        <v>9697</v>
      </c>
      <c r="C4079" s="2" t="s">
        <v>33</v>
      </c>
      <c r="D4079" s="2" t="s">
        <v>18</v>
      </c>
      <c r="E4079" s="5">
        <v>-29813</v>
      </c>
      <c r="F4079" s="3" t="s">
        <v>839</v>
      </c>
      <c r="G4079" s="3" t="s">
        <v>106</v>
      </c>
      <c r="H4079" s="2" t="s">
        <v>36</v>
      </c>
      <c r="I4079" s="2" t="s">
        <v>9698</v>
      </c>
      <c r="J4079" s="3" t="str">
        <f>HYPERLINK("https://www.boe.es/gazeta/dias/1818/05/16/pdfs/GMD-1818-59.pdf#page=5","Abrir facsímil")</f>
        <v>Abrir facsímil</v>
      </c>
      <c r="K4079" s="3" t="s">
        <v>38</v>
      </c>
    </row>
    <row r="4080" spans="1:11" ht="42" customHeight="1">
      <c r="A4080" s="2" t="s">
        <v>9699</v>
      </c>
      <c r="B4080" s="2" t="s">
        <v>9699</v>
      </c>
      <c r="C4080" s="2" t="s">
        <v>26</v>
      </c>
      <c r="D4080" s="2" t="s">
        <v>27</v>
      </c>
      <c r="E4080" s="5">
        <v>-29943</v>
      </c>
      <c r="F4080" s="3" t="s">
        <v>1837</v>
      </c>
      <c r="G4080" s="3" t="s">
        <v>2094</v>
      </c>
      <c r="H4080" s="2" t="s">
        <v>36</v>
      </c>
      <c r="I4080" s="2" t="s">
        <v>9700</v>
      </c>
      <c r="J4080" s="3" t="str">
        <f>HYPERLINK("https://www.boe.es/gazeta/dias/1818/01/06/pdfs/GMD-1818-3.pdf#page=4","Abrir facsímil")</f>
        <v>Abrir facsímil</v>
      </c>
      <c r="K4080" s="3" t="s">
        <v>38</v>
      </c>
    </row>
    <row r="4081" spans="1:11" ht="42" customHeight="1">
      <c r="A4081" s="2" t="s">
        <v>9701</v>
      </c>
      <c r="B4081" s="2" t="s">
        <v>9702</v>
      </c>
      <c r="C4081" s="2" t="s">
        <v>97</v>
      </c>
      <c r="D4081" s="2" t="s">
        <v>18</v>
      </c>
      <c r="E4081" s="5">
        <v>-29918</v>
      </c>
      <c r="F4081" s="3" t="s">
        <v>89</v>
      </c>
      <c r="G4081" s="3" t="s">
        <v>90</v>
      </c>
      <c r="H4081" s="2" t="s">
        <v>36</v>
      </c>
      <c r="I4081" s="2" t="s">
        <v>9703</v>
      </c>
      <c r="J4081" s="3" t="str">
        <f>HYPERLINK("https://www.boe.es/gazeta/dias/1818/01/31/pdfs/GMD-1818-14.pdf#page=10","Abrir facsímil")</f>
        <v>Abrir facsímil</v>
      </c>
      <c r="K4081" s="3" t="s">
        <v>38</v>
      </c>
    </row>
    <row r="4082" spans="1:11" ht="42" customHeight="1">
      <c r="A4082" s="2" t="s">
        <v>9704</v>
      </c>
      <c r="B4082" s="2" t="s">
        <v>9704</v>
      </c>
      <c r="C4082" s="2" t="s">
        <v>26</v>
      </c>
      <c r="D4082" s="2" t="s">
        <v>27</v>
      </c>
      <c r="E4082" s="5">
        <v>-29843</v>
      </c>
      <c r="F4082" s="3" t="s">
        <v>182</v>
      </c>
      <c r="G4082" s="3" t="s">
        <v>59</v>
      </c>
      <c r="H4082" s="2" t="s">
        <v>36</v>
      </c>
      <c r="I4082" s="2" t="s">
        <v>9705</v>
      </c>
      <c r="J4082" s="3" t="str">
        <f>HYPERLINK("https://www.boe.es/gazeta/dias/1818/04/16/pdfs/GMD-1818-46.pdf#page=6","Abrir facsímil")</f>
        <v>Abrir facsímil</v>
      </c>
      <c r="K4082" s="3" t="s">
        <v>38</v>
      </c>
    </row>
    <row r="4083" spans="1:11" ht="42" customHeight="1">
      <c r="A4083" s="2" t="s">
        <v>9706</v>
      </c>
      <c r="B4083" s="2" t="s">
        <v>9707</v>
      </c>
      <c r="C4083" s="2" t="s">
        <v>26</v>
      </c>
      <c r="D4083" s="2" t="s">
        <v>27</v>
      </c>
      <c r="E4083" s="5">
        <v>-29677</v>
      </c>
      <c r="F4083" s="3" t="s">
        <v>157</v>
      </c>
      <c r="G4083" s="3" t="s">
        <v>20</v>
      </c>
      <c r="H4083" s="2" t="s">
        <v>36</v>
      </c>
      <c r="I4083" s="2" t="s">
        <v>9708</v>
      </c>
      <c r="J4083" s="3" t="str">
        <f>HYPERLINK("https://www.boe.es/gazeta/dias/1818/09/29/pdfs/GMD-1818-117.pdf#page=7","Abrir facsímil")</f>
        <v>Abrir facsímil</v>
      </c>
      <c r="K4083" s="3" t="s">
        <v>38</v>
      </c>
    </row>
    <row r="4084" spans="1:11" ht="42" customHeight="1">
      <c r="A4084" s="2" t="s">
        <v>9709</v>
      </c>
      <c r="B4084" s="2" t="s">
        <v>9710</v>
      </c>
      <c r="C4084" s="2" t="s">
        <v>68</v>
      </c>
      <c r="D4084" s="2" t="s">
        <v>69</v>
      </c>
      <c r="E4084" s="5">
        <v>-29635</v>
      </c>
      <c r="F4084" s="3" t="s">
        <v>560</v>
      </c>
      <c r="G4084" s="3" t="s">
        <v>59</v>
      </c>
      <c r="H4084" s="2" t="s">
        <v>36</v>
      </c>
      <c r="I4084" s="2" t="s">
        <v>9711</v>
      </c>
      <c r="J4084" s="3" t="str">
        <f>HYPERLINK("https://www.boe.es/gazeta/dias/1818/11/10/pdfs/GMD-1818-136.pdf#page=6","Abrir facsímil")</f>
        <v>Abrir facsímil</v>
      </c>
      <c r="K4084" s="3" t="s">
        <v>38</v>
      </c>
    </row>
    <row r="4085" spans="1:11" ht="42" customHeight="1">
      <c r="A4085" s="2" t="s">
        <v>9712</v>
      </c>
      <c r="B4085" s="2" t="s">
        <v>9713</v>
      </c>
      <c r="C4085" s="2" t="s">
        <v>68</v>
      </c>
      <c r="D4085" s="2" t="s">
        <v>69</v>
      </c>
      <c r="E4085" s="5">
        <v>-29936</v>
      </c>
      <c r="F4085" s="3" t="s">
        <v>398</v>
      </c>
      <c r="G4085" s="3" t="s">
        <v>20</v>
      </c>
      <c r="H4085" s="2" t="s">
        <v>36</v>
      </c>
      <c r="I4085" s="2" t="s">
        <v>9714</v>
      </c>
      <c r="J4085" s="3" t="str">
        <f>HYPERLINK("https://www.boe.es/gazeta/dias/1818/01/13/pdfs/GMD-1818-6.pdf#page=7","Abrir facsímil")</f>
        <v>Abrir facsímil</v>
      </c>
      <c r="K4085" s="3" t="s">
        <v>38</v>
      </c>
    </row>
    <row r="4086" spans="1:11" ht="42" customHeight="1">
      <c r="A4086" s="2" t="s">
        <v>9715</v>
      </c>
      <c r="B4086" s="2" t="s">
        <v>9716</v>
      </c>
      <c r="C4086" s="2" t="s">
        <v>68</v>
      </c>
      <c r="D4086" s="2" t="s">
        <v>69</v>
      </c>
      <c r="E4086" s="5">
        <v>-29936</v>
      </c>
      <c r="F4086" s="3" t="s">
        <v>398</v>
      </c>
      <c r="G4086" s="3" t="s">
        <v>20</v>
      </c>
      <c r="H4086" s="2" t="s">
        <v>36</v>
      </c>
      <c r="I4086" s="2" t="s">
        <v>9717</v>
      </c>
      <c r="J4086" s="3" t="str">
        <f>HYPERLINK("https://www.boe.es/gazeta/dias/1818/01/13/pdfs/GMD-1818-6.pdf#page=7","Abrir facsímil")</f>
        <v>Abrir facsímil</v>
      </c>
      <c r="K4086" s="3" t="s">
        <v>38</v>
      </c>
    </row>
    <row r="4087" spans="1:11" ht="42" customHeight="1">
      <c r="A4087" s="2" t="s">
        <v>9718</v>
      </c>
      <c r="B4087" s="2" t="s">
        <v>9719</v>
      </c>
      <c r="C4087" s="2" t="s">
        <v>26</v>
      </c>
      <c r="D4087" s="2" t="s">
        <v>27</v>
      </c>
      <c r="E4087" s="5">
        <v>-29731</v>
      </c>
      <c r="F4087" s="3" t="s">
        <v>299</v>
      </c>
      <c r="G4087" s="3" t="s">
        <v>59</v>
      </c>
      <c r="H4087" s="2" t="s">
        <v>36</v>
      </c>
      <c r="I4087" s="2" t="s">
        <v>9720</v>
      </c>
      <c r="J4087" s="3" t="str">
        <f>HYPERLINK("https://www.boe.es/gazeta/dias/1818/08/06/pdfs/GMD-1818-94.pdf#page=6","Abrir facsímil")</f>
        <v>Abrir facsímil</v>
      </c>
      <c r="K4087" s="3" t="s">
        <v>38</v>
      </c>
    </row>
    <row r="4088" spans="1:11" ht="42" customHeight="1">
      <c r="A4088" s="2" t="s">
        <v>9721</v>
      </c>
      <c r="B4088" s="2" t="s">
        <v>9722</v>
      </c>
      <c r="C4088" s="2" t="s">
        <v>26</v>
      </c>
      <c r="D4088" s="2" t="s">
        <v>27</v>
      </c>
      <c r="E4088" s="5">
        <v>-29822</v>
      </c>
      <c r="F4088" s="3" t="s">
        <v>373</v>
      </c>
      <c r="G4088" s="3" t="s">
        <v>85</v>
      </c>
      <c r="H4088" s="2" t="s">
        <v>36</v>
      </c>
      <c r="I4088" s="2" t="s">
        <v>9723</v>
      </c>
      <c r="J4088" s="3" t="str">
        <f>HYPERLINK("https://www.boe.es/gazeta/dias/1818/05/07/pdfs/GMD-1818-55.pdf#page=3","Abrir facsímil")</f>
        <v>Abrir facsímil</v>
      </c>
      <c r="K4088" s="3" t="s">
        <v>38</v>
      </c>
    </row>
    <row r="4089" spans="1:11" ht="42" customHeight="1">
      <c r="A4089" s="2" t="s">
        <v>9721</v>
      </c>
      <c r="B4089" s="2" t="s">
        <v>9722</v>
      </c>
      <c r="C4089" s="2" t="s">
        <v>26</v>
      </c>
      <c r="D4089" s="2" t="s">
        <v>27</v>
      </c>
      <c r="E4089" s="5">
        <v>-29738</v>
      </c>
      <c r="F4089" s="3" t="s">
        <v>263</v>
      </c>
      <c r="G4089" s="3" t="s">
        <v>49</v>
      </c>
      <c r="H4089" s="2" t="s">
        <v>36</v>
      </c>
      <c r="I4089" s="2" t="s">
        <v>9724</v>
      </c>
      <c r="J4089" s="3" t="str">
        <f>HYPERLINK("https://www.boe.es/gazeta/dias/1818/07/30/pdfs/GMD-1818-91.pdf#page=1","Abrir facsímil")</f>
        <v>Abrir facsímil</v>
      </c>
      <c r="K4089" s="3" t="s">
        <v>38</v>
      </c>
    </row>
    <row r="4090" spans="1:11" ht="42" customHeight="1">
      <c r="A4090" s="2" t="s">
        <v>9721</v>
      </c>
      <c r="B4090" s="2" t="s">
        <v>9722</v>
      </c>
      <c r="C4090" s="2" t="s">
        <v>26</v>
      </c>
      <c r="D4090" s="2" t="s">
        <v>27</v>
      </c>
      <c r="E4090" s="5">
        <v>-29722</v>
      </c>
      <c r="F4090" s="3" t="s">
        <v>1127</v>
      </c>
      <c r="G4090" s="3" t="s">
        <v>49</v>
      </c>
      <c r="H4090" s="2" t="s">
        <v>36</v>
      </c>
      <c r="I4090" s="2" t="s">
        <v>9725</v>
      </c>
      <c r="J4090" s="3" t="str">
        <f>HYPERLINK("https://www.boe.es/gazeta/dias/1818/08/15/pdfs/GMD-1818-98.pdf#page=1","Abrir facsímil")</f>
        <v>Abrir facsímil</v>
      </c>
      <c r="K4090" s="3" t="s">
        <v>38</v>
      </c>
    </row>
    <row r="4091" spans="1:11" ht="42" customHeight="1">
      <c r="A4091" s="2" t="s">
        <v>9726</v>
      </c>
      <c r="B4091" s="2" t="s">
        <v>9726</v>
      </c>
      <c r="C4091" s="2" t="s">
        <v>26</v>
      </c>
      <c r="D4091" s="2" t="s">
        <v>27</v>
      </c>
      <c r="E4091" s="5">
        <v>-29925</v>
      </c>
      <c r="F4091" s="3" t="s">
        <v>447</v>
      </c>
      <c r="G4091" s="3" t="s">
        <v>120</v>
      </c>
      <c r="H4091" s="2" t="s">
        <v>36</v>
      </c>
      <c r="I4091" s="2" t="s">
        <v>9727</v>
      </c>
      <c r="J4091" s="3" t="str">
        <f>HYPERLINK("https://www.boe.es/gazeta/dias/1818/01/24/pdfs/GMD-1818-11.pdf#page=2","Abrir facsímil")</f>
        <v>Abrir facsímil</v>
      </c>
      <c r="K4091" s="3" t="s">
        <v>38</v>
      </c>
    </row>
    <row r="4092" spans="1:11" ht="42" customHeight="1">
      <c r="A4092" s="2" t="s">
        <v>9728</v>
      </c>
      <c r="B4092" s="2" t="s">
        <v>9728</v>
      </c>
      <c r="C4092" s="2" t="s">
        <v>68</v>
      </c>
      <c r="D4092" s="2" t="s">
        <v>69</v>
      </c>
      <c r="E4092" s="5">
        <v>-29813</v>
      </c>
      <c r="F4092" s="3" t="s">
        <v>839</v>
      </c>
      <c r="G4092" s="3" t="s">
        <v>45</v>
      </c>
      <c r="H4092" s="2" t="s">
        <v>36</v>
      </c>
      <c r="I4092" s="2" t="s">
        <v>9729</v>
      </c>
      <c r="J4092" s="3" t="str">
        <f>HYPERLINK("https://www.boe.es/gazeta/dias/1818/05/16/pdfs/GMD-1818-59.pdf#page=8","Abrir facsímil")</f>
        <v>Abrir facsímil</v>
      </c>
      <c r="K4092" s="3" t="s">
        <v>38</v>
      </c>
    </row>
    <row r="4093" spans="1:11" ht="42" customHeight="1">
      <c r="A4093" s="2" t="s">
        <v>9730</v>
      </c>
      <c r="B4093" s="2" t="s">
        <v>9730</v>
      </c>
      <c r="C4093" s="2" t="s">
        <v>26</v>
      </c>
      <c r="D4093" s="2" t="s">
        <v>27</v>
      </c>
      <c r="E4093" s="5">
        <v>-29901</v>
      </c>
      <c r="F4093" s="3" t="s">
        <v>417</v>
      </c>
      <c r="G4093" s="3" t="s">
        <v>45</v>
      </c>
      <c r="H4093" s="2" t="s">
        <v>36</v>
      </c>
      <c r="I4093" s="2" t="s">
        <v>9731</v>
      </c>
      <c r="J4093" s="3" t="str">
        <f>HYPERLINK("https://www.boe.es/gazeta/dias/1818/02/17/pdfs/GMD-1818-21.pdf#page=8","Abrir facsímil")</f>
        <v>Abrir facsímil</v>
      </c>
      <c r="K4093" s="3" t="s">
        <v>38</v>
      </c>
    </row>
    <row r="4094" spans="1:11" ht="42" customHeight="1">
      <c r="A4094" s="2" t="s">
        <v>9730</v>
      </c>
      <c r="B4094" s="2" t="s">
        <v>9730</v>
      </c>
      <c r="C4094" s="2" t="s">
        <v>17</v>
      </c>
      <c r="D4094" s="2" t="s">
        <v>18</v>
      </c>
      <c r="E4094" s="5">
        <v>-29750</v>
      </c>
      <c r="F4094" s="3" t="s">
        <v>384</v>
      </c>
      <c r="G4094" s="3" t="s">
        <v>59</v>
      </c>
      <c r="H4094" s="2" t="s">
        <v>36</v>
      </c>
      <c r="I4094" s="2" t="s">
        <v>9732</v>
      </c>
      <c r="J4094" s="3" t="str">
        <f>HYPERLINK("https://www.boe.es/gazeta/dias/1818/07/18/pdfs/GMD-1818-86.pdf#page=6","Abrir facsímil")</f>
        <v>Abrir facsímil</v>
      </c>
      <c r="K4094" s="3" t="s">
        <v>38</v>
      </c>
    </row>
    <row r="4095" spans="1:11" ht="42" customHeight="1">
      <c r="A4095" s="2" t="s">
        <v>9730</v>
      </c>
      <c r="B4095" s="2" t="s">
        <v>9730</v>
      </c>
      <c r="C4095" s="2" t="s">
        <v>26</v>
      </c>
      <c r="D4095" s="2" t="s">
        <v>668</v>
      </c>
      <c r="E4095" s="5">
        <v>-29661</v>
      </c>
      <c r="F4095" s="3" t="s">
        <v>669</v>
      </c>
      <c r="G4095" s="3" t="s">
        <v>85</v>
      </c>
      <c r="H4095" s="2" t="s">
        <v>36</v>
      </c>
      <c r="I4095" s="2" t="s">
        <v>9733</v>
      </c>
      <c r="J4095" s="3" t="str">
        <f>HYPERLINK("https://www.boe.es/gazeta/dias/1818/10/15/pdfs/GMD-1818-125E.pdf#page=3","Abrir facsímil")</f>
        <v>Abrir facsímil</v>
      </c>
      <c r="K4095" s="3" t="s">
        <v>38</v>
      </c>
    </row>
    <row r="4096" spans="1:11" ht="42" customHeight="1">
      <c r="A4096" s="2" t="s">
        <v>9734</v>
      </c>
      <c r="B4096" s="2" t="s">
        <v>9735</v>
      </c>
      <c r="C4096" s="2" t="s">
        <v>57</v>
      </c>
      <c r="D4096" s="2" t="s">
        <v>18</v>
      </c>
      <c r="E4096" s="5">
        <v>-29908</v>
      </c>
      <c r="F4096" s="3" t="s">
        <v>695</v>
      </c>
      <c r="G4096" s="3" t="s">
        <v>45</v>
      </c>
      <c r="H4096" s="2" t="s">
        <v>36</v>
      </c>
      <c r="I4096" s="2" t="s">
        <v>9736</v>
      </c>
      <c r="J4096" s="3" t="str">
        <f>HYPERLINK("https://www.boe.es/gazeta/dias/1818/02/10/pdfs/GMD-1818-18.pdf#page=8","Abrir facsímil")</f>
        <v>Abrir facsímil</v>
      </c>
      <c r="K4096" s="3" t="s">
        <v>38</v>
      </c>
    </row>
    <row r="4097" spans="1:11" ht="42" customHeight="1">
      <c r="A4097" s="2" t="s">
        <v>9737</v>
      </c>
      <c r="B4097" s="2" t="s">
        <v>9738</v>
      </c>
      <c r="C4097" s="2" t="s">
        <v>26</v>
      </c>
      <c r="D4097" s="2" t="s">
        <v>27</v>
      </c>
      <c r="E4097" s="5">
        <v>-29589</v>
      </c>
      <c r="F4097" s="3" t="s">
        <v>210</v>
      </c>
      <c r="G4097" s="3" t="s">
        <v>120</v>
      </c>
      <c r="H4097" s="2" t="s">
        <v>36</v>
      </c>
      <c r="I4097" s="2" t="s">
        <v>9739</v>
      </c>
      <c r="J4097" s="3" t="str">
        <f>HYPERLINK("https://www.boe.es/gazeta/dias/1818/12/26/pdfs/GMD-1818-156.pdf#page=2","Abrir facsímil")</f>
        <v>Abrir facsímil</v>
      </c>
      <c r="K4097" s="3" t="s">
        <v>38</v>
      </c>
    </row>
    <row r="4098" spans="1:11" ht="42" customHeight="1">
      <c r="A4098" s="2" t="s">
        <v>9740</v>
      </c>
      <c r="B4098" s="2" t="s">
        <v>9741</v>
      </c>
      <c r="C4098" s="2" t="s">
        <v>26</v>
      </c>
      <c r="D4098" s="2" t="s">
        <v>27</v>
      </c>
      <c r="E4098" s="5">
        <v>-29939</v>
      </c>
      <c r="F4098" s="3" t="s">
        <v>110</v>
      </c>
      <c r="G4098" s="3" t="s">
        <v>111</v>
      </c>
      <c r="H4098" s="2" t="s">
        <v>36</v>
      </c>
      <c r="I4098" s="2" t="s">
        <v>9742</v>
      </c>
      <c r="J4098" s="3" t="str">
        <f>HYPERLINK("https://www.boe.es/gazeta/dias/1818/01/10/pdfs/GMD-1818-5.pdf#page=11","Abrir facsímil")</f>
        <v>Abrir facsímil</v>
      </c>
      <c r="K4098" s="3" t="s">
        <v>38</v>
      </c>
    </row>
    <row r="4099" spans="1:11" ht="42" customHeight="1">
      <c r="A4099" s="2" t="s">
        <v>9743</v>
      </c>
      <c r="B4099" s="2" t="s">
        <v>9744</v>
      </c>
      <c r="C4099" s="2" t="s">
        <v>26</v>
      </c>
      <c r="D4099" s="2" t="s">
        <v>27</v>
      </c>
      <c r="E4099" s="5">
        <v>-29920</v>
      </c>
      <c r="F4099" s="3" t="s">
        <v>201</v>
      </c>
      <c r="G4099" s="3" t="s">
        <v>116</v>
      </c>
      <c r="H4099" s="2" t="s">
        <v>36</v>
      </c>
      <c r="I4099" s="2" t="s">
        <v>9745</v>
      </c>
      <c r="J4099" s="3" t="str">
        <f>HYPERLINK("https://www.boe.es/gazeta/dias/1818/01/29/pdfs/GMD-1818-13.pdf#page=12","Abrir facsímil")</f>
        <v>Abrir facsímil</v>
      </c>
      <c r="K4099" s="3" t="s">
        <v>38</v>
      </c>
    </row>
    <row r="4100" spans="1:11" ht="42" customHeight="1">
      <c r="A4100" s="2" t="s">
        <v>9746</v>
      </c>
      <c r="B4100" s="2" t="s">
        <v>9746</v>
      </c>
      <c r="C4100" s="2" t="s">
        <v>26</v>
      </c>
      <c r="D4100" s="2" t="s">
        <v>27</v>
      </c>
      <c r="E4100" s="5">
        <v>-29925</v>
      </c>
      <c r="F4100" s="3" t="s">
        <v>447</v>
      </c>
      <c r="G4100" s="3" t="s">
        <v>120</v>
      </c>
      <c r="H4100" s="2" t="s">
        <v>36</v>
      </c>
      <c r="I4100" s="2" t="s">
        <v>9747</v>
      </c>
      <c r="J4100" s="3" t="str">
        <f>HYPERLINK("https://www.boe.es/gazeta/dias/1818/01/24/pdfs/GMD-1818-11.pdf#page=2","Abrir facsímil")</f>
        <v>Abrir facsímil</v>
      </c>
      <c r="K4100" s="3" t="s">
        <v>38</v>
      </c>
    </row>
    <row r="4101" spans="1:11" ht="42" customHeight="1">
      <c r="A4101" s="2" t="s">
        <v>9748</v>
      </c>
      <c r="B4101" s="2" t="s">
        <v>9749</v>
      </c>
      <c r="C4101" s="2" t="s">
        <v>33</v>
      </c>
      <c r="D4101" s="2" t="s">
        <v>18</v>
      </c>
      <c r="E4101" s="5">
        <v>-29736</v>
      </c>
      <c r="F4101" s="3" t="s">
        <v>581</v>
      </c>
      <c r="G4101" s="3" t="s">
        <v>59</v>
      </c>
      <c r="H4101" s="2" t="s">
        <v>36</v>
      </c>
      <c r="I4101" s="2" t="s">
        <v>9750</v>
      </c>
      <c r="J4101" s="3" t="str">
        <f>HYPERLINK("https://www.boe.es/gazeta/dias/1818/08/01/pdfs/GMD-1818-92.pdf#page=6","Abrir facsímil")</f>
        <v>Abrir facsímil</v>
      </c>
      <c r="K4101" s="3" t="s">
        <v>38</v>
      </c>
    </row>
    <row r="4102" spans="1:11" ht="42" customHeight="1">
      <c r="A4102" s="2" t="s">
        <v>9751</v>
      </c>
      <c r="B4102" s="2" t="s">
        <v>9751</v>
      </c>
      <c r="C4102" s="2" t="s">
        <v>26</v>
      </c>
      <c r="D4102" s="2" t="s">
        <v>27</v>
      </c>
      <c r="E4102" s="5">
        <v>-29761</v>
      </c>
      <c r="F4102" s="3" t="s">
        <v>168</v>
      </c>
      <c r="G4102" s="3" t="s">
        <v>49</v>
      </c>
      <c r="H4102" s="2" t="s">
        <v>36</v>
      </c>
      <c r="I4102" s="2" t="s">
        <v>9752</v>
      </c>
      <c r="J4102" s="3" t="str">
        <f>HYPERLINK("https://www.boe.es/gazeta/dias/1818/07/07/pdfs/GMD-1818-81.pdf#page=1","Abrir facsímil")</f>
        <v>Abrir facsímil</v>
      </c>
      <c r="K4102" s="3" t="s">
        <v>38</v>
      </c>
    </row>
    <row r="4103" spans="1:11" ht="42" customHeight="1">
      <c r="A4103" s="2" t="s">
        <v>9753</v>
      </c>
      <c r="B4103" s="2" t="s">
        <v>9753</v>
      </c>
      <c r="C4103" s="2" t="s">
        <v>26</v>
      </c>
      <c r="D4103" s="2" t="s">
        <v>27</v>
      </c>
      <c r="E4103" s="5">
        <v>-29908</v>
      </c>
      <c r="F4103" s="3" t="s">
        <v>695</v>
      </c>
      <c r="G4103" s="3" t="s">
        <v>45</v>
      </c>
      <c r="H4103" s="2" t="s">
        <v>36</v>
      </c>
      <c r="I4103" s="2" t="s">
        <v>9754</v>
      </c>
      <c r="J4103" s="3" t="str">
        <f>HYPERLINK("https://www.boe.es/gazeta/dias/1818/02/10/pdfs/GMD-1818-18.pdf#page=8","Abrir facsímil")</f>
        <v>Abrir facsímil</v>
      </c>
      <c r="K4103" s="3" t="s">
        <v>38</v>
      </c>
    </row>
    <row r="4104" spans="1:11" ht="42" customHeight="1">
      <c r="A4104" s="2" t="s">
        <v>9755</v>
      </c>
      <c r="B4104" s="2" t="s">
        <v>9756</v>
      </c>
      <c r="C4104" s="2" t="s">
        <v>17</v>
      </c>
      <c r="D4104" s="2" t="s">
        <v>18</v>
      </c>
      <c r="E4104" s="5">
        <v>-29771</v>
      </c>
      <c r="F4104" s="3" t="s">
        <v>1260</v>
      </c>
      <c r="G4104" s="3" t="s">
        <v>4136</v>
      </c>
      <c r="H4104" s="2" t="s">
        <v>36</v>
      </c>
      <c r="I4104" s="2" t="s">
        <v>9757</v>
      </c>
      <c r="J4104" s="3" t="str">
        <f>HYPERLINK("https://www.boe.es/gazeta/dias/1818/06/27/pdfs/GMD-1818-77.pdf#page=4","Abrir facsímil")</f>
        <v>Abrir facsímil</v>
      </c>
      <c r="K4104" s="3" t="s">
        <v>38</v>
      </c>
    </row>
    <row r="4105" spans="1:11" ht="42" customHeight="1">
      <c r="A4105" s="2" t="s">
        <v>9758</v>
      </c>
      <c r="B4105" s="2" t="s">
        <v>9759</v>
      </c>
      <c r="C4105" s="2" t="s">
        <v>26</v>
      </c>
      <c r="D4105" s="2" t="s">
        <v>27</v>
      </c>
      <c r="E4105" s="5">
        <v>-29761</v>
      </c>
      <c r="F4105" s="3" t="s">
        <v>168</v>
      </c>
      <c r="G4105" s="3" t="s">
        <v>1238</v>
      </c>
      <c r="H4105" s="2" t="s">
        <v>36</v>
      </c>
      <c r="I4105" s="2" t="s">
        <v>9760</v>
      </c>
      <c r="J4105" s="3" t="str">
        <f>HYPERLINK("https://www.boe.es/gazeta/dias/1818/07/07/pdfs/GMD-1818-81.pdf#page=8","Abrir facsímil")</f>
        <v>Abrir facsímil</v>
      </c>
      <c r="K4105" s="3" t="s">
        <v>38</v>
      </c>
    </row>
    <row r="4106" spans="1:11" ht="42" customHeight="1">
      <c r="A4106" s="2" t="s">
        <v>9761</v>
      </c>
      <c r="B4106" s="2" t="s">
        <v>9762</v>
      </c>
      <c r="C4106" s="2" t="s">
        <v>26</v>
      </c>
      <c r="D4106" s="2" t="s">
        <v>27</v>
      </c>
      <c r="E4106" s="5">
        <v>-29899</v>
      </c>
      <c r="F4106" s="3" t="s">
        <v>232</v>
      </c>
      <c r="G4106" s="3" t="s">
        <v>59</v>
      </c>
      <c r="H4106" s="2" t="s">
        <v>36</v>
      </c>
      <c r="I4106" s="2" t="s">
        <v>9763</v>
      </c>
      <c r="J4106" s="3" t="str">
        <f>HYPERLINK("https://www.boe.es/gazeta/dias/1818/02/19/pdfs/GMD-1818-22.pdf#page=6","Abrir facsímil")</f>
        <v>Abrir facsímil</v>
      </c>
      <c r="K4106" s="3" t="s">
        <v>38</v>
      </c>
    </row>
    <row r="4107" spans="1:11" ht="42" customHeight="1">
      <c r="A4107" s="2" t="s">
        <v>9764</v>
      </c>
      <c r="B4107" s="2" t="s">
        <v>9765</v>
      </c>
      <c r="C4107" s="2" t="s">
        <v>68</v>
      </c>
      <c r="D4107" s="2" t="s">
        <v>69</v>
      </c>
      <c r="E4107" s="5">
        <v>-29799</v>
      </c>
      <c r="F4107" s="3" t="s">
        <v>135</v>
      </c>
      <c r="G4107" s="3" t="s">
        <v>59</v>
      </c>
      <c r="H4107" s="2" t="s">
        <v>36</v>
      </c>
      <c r="I4107" s="2" t="s">
        <v>9766</v>
      </c>
      <c r="J4107" s="3" t="str">
        <f>HYPERLINK("https://www.boe.es/gazeta/dias/1818/05/30/pdfs/GMD-1818-65.pdf#page=6","Abrir facsímil")</f>
        <v>Abrir facsímil</v>
      </c>
      <c r="K4107" s="3" t="s">
        <v>38</v>
      </c>
    </row>
    <row r="4108" spans="1:11" ht="42" customHeight="1">
      <c r="A4108" s="2" t="s">
        <v>9767</v>
      </c>
      <c r="B4108" s="2" t="s">
        <v>9768</v>
      </c>
      <c r="C4108" s="2" t="s">
        <v>68</v>
      </c>
      <c r="D4108" s="2" t="s">
        <v>69</v>
      </c>
      <c r="E4108" s="5">
        <v>-29689</v>
      </c>
      <c r="F4108" s="3" t="s">
        <v>303</v>
      </c>
      <c r="G4108" s="3" t="s">
        <v>20</v>
      </c>
      <c r="H4108" s="2" t="s">
        <v>36</v>
      </c>
      <c r="I4108" s="2" t="s">
        <v>9769</v>
      </c>
      <c r="J4108" s="3" t="str">
        <f>HYPERLINK("https://www.boe.es/gazeta/dias/1818/09/17/pdfs/GMD-1818-112.pdf#page=7","Abrir facsímil")</f>
        <v>Abrir facsímil</v>
      </c>
      <c r="K4108" s="3" t="s">
        <v>38</v>
      </c>
    </row>
    <row r="4109" spans="1:11" ht="42" customHeight="1">
      <c r="A4109" s="2" t="s">
        <v>9770</v>
      </c>
      <c r="B4109" s="2" t="s">
        <v>9771</v>
      </c>
      <c r="C4109" s="2" t="s">
        <v>26</v>
      </c>
      <c r="D4109" s="2" t="s">
        <v>27</v>
      </c>
      <c r="E4109" s="5">
        <v>-29813</v>
      </c>
      <c r="F4109" s="3" t="s">
        <v>839</v>
      </c>
      <c r="G4109" s="3" t="s">
        <v>29</v>
      </c>
      <c r="H4109" s="2" t="s">
        <v>36</v>
      </c>
      <c r="I4109" s="2" t="s">
        <v>9772</v>
      </c>
      <c r="J4109" s="3" t="str">
        <f>HYPERLINK("https://www.boe.es/gazeta/dias/1818/05/16/pdfs/GMD-1818-59.pdf#page=4","Abrir facsímil")</f>
        <v>Abrir facsímil</v>
      </c>
      <c r="K4109" s="3" t="s">
        <v>38</v>
      </c>
    </row>
    <row r="4110" spans="1:11" ht="42" customHeight="1">
      <c r="A4110" s="2" t="s">
        <v>9773</v>
      </c>
      <c r="B4110" s="2" t="s">
        <v>9774</v>
      </c>
      <c r="C4110" s="2" t="s">
        <v>17</v>
      </c>
      <c r="D4110" s="2" t="s">
        <v>18</v>
      </c>
      <c r="E4110" s="5">
        <v>-29596</v>
      </c>
      <c r="F4110" s="3" t="s">
        <v>555</v>
      </c>
      <c r="G4110" s="3" t="s">
        <v>20</v>
      </c>
      <c r="H4110" s="2" t="s">
        <v>36</v>
      </c>
      <c r="I4110" s="2" t="s">
        <v>9775</v>
      </c>
      <c r="J4110" s="3" t="str">
        <f>HYPERLINK("https://www.boe.es/gazeta/dias/1818/12/19/pdfs/GMD-1818-153.pdf#page=7","Abrir facsímil")</f>
        <v>Abrir facsímil</v>
      </c>
      <c r="K4110" s="3" t="s">
        <v>38</v>
      </c>
    </row>
    <row r="4111" spans="1:11" ht="42" customHeight="1">
      <c r="A4111" s="2" t="s">
        <v>9776</v>
      </c>
      <c r="B4111" s="2" t="s">
        <v>9777</v>
      </c>
      <c r="C4111" s="2" t="s">
        <v>68</v>
      </c>
      <c r="D4111" s="2" t="s">
        <v>69</v>
      </c>
      <c r="E4111" s="5">
        <v>-29894</v>
      </c>
      <c r="F4111" s="3" t="s">
        <v>820</v>
      </c>
      <c r="G4111" s="3" t="s">
        <v>20</v>
      </c>
      <c r="H4111" s="2" t="s">
        <v>36</v>
      </c>
      <c r="I4111" s="2" t="s">
        <v>9778</v>
      </c>
      <c r="J4111" s="3" t="str">
        <f>HYPERLINK("https://www.boe.es/gazeta/dias/1818/02/24/pdfs/GMD-1818-24.pdf#page=7","Abrir facsímil")</f>
        <v>Abrir facsímil</v>
      </c>
      <c r="K4111" s="3" t="s">
        <v>38</v>
      </c>
    </row>
    <row r="4112" spans="1:11" ht="42" customHeight="1">
      <c r="A4112" s="2" t="s">
        <v>9779</v>
      </c>
      <c r="B4112" s="2" t="s">
        <v>9780</v>
      </c>
      <c r="C4112" s="2" t="s">
        <v>57</v>
      </c>
      <c r="D4112" s="2" t="s">
        <v>18</v>
      </c>
      <c r="E4112" s="5">
        <v>-29703</v>
      </c>
      <c r="F4112" s="3" t="s">
        <v>294</v>
      </c>
      <c r="G4112" s="3" t="s">
        <v>20</v>
      </c>
      <c r="H4112" s="2" t="s">
        <v>36</v>
      </c>
      <c r="I4112" s="2" t="s">
        <v>9781</v>
      </c>
      <c r="J4112" s="3" t="str">
        <f>HYPERLINK("https://www.boe.es/gazeta/dias/1818/09/03/pdfs/GMD-1818-106.pdf#page=7","Abrir facsímil")</f>
        <v>Abrir facsímil</v>
      </c>
      <c r="K4112" s="3" t="s">
        <v>38</v>
      </c>
    </row>
    <row r="4113" spans="1:11" ht="42" customHeight="1">
      <c r="A4113" s="2" t="s">
        <v>9782</v>
      </c>
      <c r="B4113" s="2" t="s">
        <v>9783</v>
      </c>
      <c r="C4113" s="2" t="s">
        <v>68</v>
      </c>
      <c r="D4113" s="2" t="s">
        <v>69</v>
      </c>
      <c r="E4113" s="5">
        <v>-29771</v>
      </c>
      <c r="F4113" s="3" t="s">
        <v>1260</v>
      </c>
      <c r="G4113" s="3" t="s">
        <v>45</v>
      </c>
      <c r="H4113" s="2" t="s">
        <v>36</v>
      </c>
      <c r="I4113" s="2" t="s">
        <v>9784</v>
      </c>
      <c r="J4113" s="3" t="str">
        <f>HYPERLINK("https://www.boe.es/gazeta/dias/1818/06/27/pdfs/GMD-1818-77.pdf#page=8","Abrir facsímil")</f>
        <v>Abrir facsímil</v>
      </c>
      <c r="K4113" s="3" t="s">
        <v>38</v>
      </c>
    </row>
    <row r="4114" spans="1:11" ht="42" customHeight="1">
      <c r="A4114" s="2" t="s">
        <v>9785</v>
      </c>
      <c r="B4114" s="2" t="s">
        <v>9786</v>
      </c>
      <c r="C4114" s="2" t="s">
        <v>63</v>
      </c>
      <c r="D4114" s="2" t="s">
        <v>18</v>
      </c>
      <c r="E4114" s="5">
        <v>-29652</v>
      </c>
      <c r="F4114" s="3" t="s">
        <v>741</v>
      </c>
      <c r="G4114" s="3" t="s">
        <v>20</v>
      </c>
      <c r="H4114" s="2" t="s">
        <v>36</v>
      </c>
      <c r="I4114" s="2" t="s">
        <v>9787</v>
      </c>
      <c r="J4114" s="3" t="str">
        <f>HYPERLINK("https://www.boe.es/gazeta/dias/1818/10/24/pdfs/GMD-1818-129.pdf#page=7","Abrir facsímil")</f>
        <v>Abrir facsímil</v>
      </c>
      <c r="K4114" s="3" t="s">
        <v>38</v>
      </c>
    </row>
    <row r="4115" spans="1:11" ht="42" customHeight="1">
      <c r="A4115" s="2" t="s">
        <v>9788</v>
      </c>
      <c r="B4115" s="2" t="s">
        <v>9789</v>
      </c>
      <c r="C4115" s="2" t="s">
        <v>26</v>
      </c>
      <c r="D4115" s="2" t="s">
        <v>27</v>
      </c>
      <c r="E4115" s="5">
        <v>-29803</v>
      </c>
      <c r="F4115" s="3" t="s">
        <v>1393</v>
      </c>
      <c r="G4115" s="3" t="s">
        <v>20</v>
      </c>
      <c r="H4115" s="2" t="s">
        <v>36</v>
      </c>
      <c r="I4115" s="2" t="s">
        <v>9790</v>
      </c>
      <c r="J4115" s="3" t="str">
        <f>HYPERLINK("https://www.boe.es/gazeta/dias/1818/05/26/pdfs/GMD-1818-63.pdf#page=7","Abrir facsímil")</f>
        <v>Abrir facsímil</v>
      </c>
      <c r="K4115" s="3" t="s">
        <v>38</v>
      </c>
    </row>
    <row r="4116" spans="1:11" ht="42" customHeight="1">
      <c r="A4116" s="2" t="s">
        <v>9788</v>
      </c>
      <c r="B4116" s="2" t="s">
        <v>9789</v>
      </c>
      <c r="C4116" s="2" t="s">
        <v>17</v>
      </c>
      <c r="D4116" s="2" t="s">
        <v>18</v>
      </c>
      <c r="E4116" s="5">
        <v>-29705</v>
      </c>
      <c r="F4116" s="3" t="s">
        <v>680</v>
      </c>
      <c r="G4116" s="3" t="s">
        <v>59</v>
      </c>
      <c r="H4116" s="2" t="s">
        <v>36</v>
      </c>
      <c r="I4116" s="2" t="s">
        <v>9791</v>
      </c>
      <c r="J4116" s="3" t="str">
        <f>HYPERLINK("https://www.boe.es/gazeta/dias/1818/09/01/pdfs/GMD-1818-105.pdf#page=6","Abrir facsímil")</f>
        <v>Abrir facsímil</v>
      </c>
      <c r="K4116" s="3" t="s">
        <v>38</v>
      </c>
    </row>
    <row r="4117" spans="1:11" ht="42" customHeight="1">
      <c r="A4117" s="2" t="s">
        <v>9788</v>
      </c>
      <c r="B4117" s="2" t="s">
        <v>9789</v>
      </c>
      <c r="C4117" s="2" t="s">
        <v>68</v>
      </c>
      <c r="D4117" s="2" t="s">
        <v>668</v>
      </c>
      <c r="E4117" s="5">
        <v>-29661</v>
      </c>
      <c r="F4117" s="3" t="s">
        <v>669</v>
      </c>
      <c r="G4117" s="3" t="s">
        <v>85</v>
      </c>
      <c r="H4117" s="2" t="s">
        <v>36</v>
      </c>
      <c r="I4117" s="2" t="s">
        <v>9792</v>
      </c>
      <c r="J4117" s="3" t="str">
        <f>HYPERLINK("https://www.boe.es/gazeta/dias/1818/10/15/pdfs/GMD-1818-125E.pdf#page=3","Abrir facsímil")</f>
        <v>Abrir facsímil</v>
      </c>
      <c r="K4117" s="3" t="s">
        <v>38</v>
      </c>
    </row>
    <row r="4118" spans="1:11" ht="42" customHeight="1">
      <c r="A4118" s="2" t="s">
        <v>9788</v>
      </c>
      <c r="B4118" s="2" t="s">
        <v>9789</v>
      </c>
      <c r="C4118" s="2" t="s">
        <v>68</v>
      </c>
      <c r="D4118" s="2" t="s">
        <v>69</v>
      </c>
      <c r="E4118" s="5">
        <v>-29642</v>
      </c>
      <c r="F4118" s="3" t="s">
        <v>248</v>
      </c>
      <c r="G4118" s="3" t="s">
        <v>59</v>
      </c>
      <c r="H4118" s="2" t="s">
        <v>36</v>
      </c>
      <c r="I4118" s="2" t="s">
        <v>9793</v>
      </c>
      <c r="J4118" s="3" t="str">
        <f>HYPERLINK("https://www.boe.es/gazeta/dias/1818/11/03/pdfs/GMD-1818-133.pdf#page=6","Abrir facsímil")</f>
        <v>Abrir facsímil</v>
      </c>
      <c r="K4118" s="3" t="s">
        <v>38</v>
      </c>
    </row>
    <row r="4119" spans="1:11" ht="42" customHeight="1">
      <c r="A4119" s="2" t="s">
        <v>9794</v>
      </c>
      <c r="B4119" s="2" t="s">
        <v>9795</v>
      </c>
      <c r="C4119" s="2" t="s">
        <v>26</v>
      </c>
      <c r="D4119" s="2" t="s">
        <v>27</v>
      </c>
      <c r="E4119" s="5">
        <v>-29946</v>
      </c>
      <c r="F4119" s="3" t="s">
        <v>724</v>
      </c>
      <c r="G4119" s="3" t="s">
        <v>59</v>
      </c>
      <c r="H4119" s="2" t="s">
        <v>36</v>
      </c>
      <c r="I4119" s="2" t="s">
        <v>9796</v>
      </c>
      <c r="J4119" s="3" t="str">
        <f>HYPERLINK("https://www.boe.es/gazeta/dias/1818/01/03/pdfs/GMD-1818-2.pdf#page=6","Abrir facsímil")</f>
        <v>Abrir facsímil</v>
      </c>
      <c r="K4119" s="3" t="s">
        <v>38</v>
      </c>
    </row>
    <row r="4120" spans="1:11" ht="42" customHeight="1">
      <c r="A4120" s="2" t="s">
        <v>9794</v>
      </c>
      <c r="B4120" s="2" t="s">
        <v>9795</v>
      </c>
      <c r="C4120" s="2" t="s">
        <v>68</v>
      </c>
      <c r="D4120" s="2" t="s">
        <v>69</v>
      </c>
      <c r="E4120" s="5">
        <v>-29894</v>
      </c>
      <c r="F4120" s="3" t="s">
        <v>820</v>
      </c>
      <c r="G4120" s="3" t="s">
        <v>59</v>
      </c>
      <c r="H4120" s="2" t="s">
        <v>36</v>
      </c>
      <c r="I4120" s="2" t="s">
        <v>9797</v>
      </c>
      <c r="J4120" s="3" t="str">
        <f>HYPERLINK("https://www.boe.es/gazeta/dias/1818/02/24/pdfs/GMD-1818-24.pdf#page=6","Abrir facsímil")</f>
        <v>Abrir facsímil</v>
      </c>
      <c r="K4120" s="3" t="s">
        <v>38</v>
      </c>
    </row>
    <row r="4121" spans="1:11" ht="42" customHeight="1">
      <c r="A4121" s="2" t="s">
        <v>9794</v>
      </c>
      <c r="B4121" s="2" t="s">
        <v>9795</v>
      </c>
      <c r="C4121" s="2" t="s">
        <v>68</v>
      </c>
      <c r="D4121" s="2" t="s">
        <v>69</v>
      </c>
      <c r="E4121" s="5">
        <v>-29883</v>
      </c>
      <c r="F4121" s="3" t="s">
        <v>823</v>
      </c>
      <c r="G4121" s="3" t="s">
        <v>59</v>
      </c>
      <c r="H4121" s="2" t="s">
        <v>36</v>
      </c>
      <c r="I4121" s="2" t="s">
        <v>9798</v>
      </c>
      <c r="J4121" s="3" t="str">
        <f>HYPERLINK("https://www.boe.es/gazeta/dias/1818/03/07/pdfs/GMD-1818-29.pdf#page=6","Abrir facsímil")</f>
        <v>Abrir facsímil</v>
      </c>
      <c r="K4121" s="3" t="s">
        <v>38</v>
      </c>
    </row>
    <row r="4122" spans="1:11" ht="42" customHeight="1">
      <c r="A4122" s="2" t="s">
        <v>9794</v>
      </c>
      <c r="B4122" s="2" t="s">
        <v>9795</v>
      </c>
      <c r="C4122" s="2" t="s">
        <v>68</v>
      </c>
      <c r="D4122" s="2" t="s">
        <v>69</v>
      </c>
      <c r="E4122" s="5">
        <v>-29848</v>
      </c>
      <c r="F4122" s="3" t="s">
        <v>571</v>
      </c>
      <c r="G4122" s="3" t="s">
        <v>29</v>
      </c>
      <c r="H4122" s="2" t="s">
        <v>36</v>
      </c>
      <c r="I4122" s="2" t="s">
        <v>9799</v>
      </c>
      <c r="J4122" s="3" t="str">
        <f>HYPERLINK("https://www.boe.es/gazeta/dias/1818/04/11/pdfs/GMD-1818-44.pdf#page=4","Abrir facsímil")</f>
        <v>Abrir facsímil</v>
      </c>
      <c r="K4122" s="3" t="s">
        <v>38</v>
      </c>
    </row>
    <row r="4123" spans="1:11" ht="42" customHeight="1">
      <c r="A4123" s="2" t="s">
        <v>9794</v>
      </c>
      <c r="B4123" s="2" t="s">
        <v>9795</v>
      </c>
      <c r="C4123" s="2" t="s">
        <v>68</v>
      </c>
      <c r="D4123" s="2" t="s">
        <v>69</v>
      </c>
      <c r="E4123" s="5">
        <v>-29838</v>
      </c>
      <c r="F4123" s="3" t="s">
        <v>593</v>
      </c>
      <c r="G4123" s="3" t="s">
        <v>59</v>
      </c>
      <c r="H4123" s="2" t="s">
        <v>36</v>
      </c>
      <c r="I4123" s="2" t="s">
        <v>9800</v>
      </c>
      <c r="J4123" s="3" t="str">
        <f>HYPERLINK("https://www.boe.es/gazeta/dias/1818/04/21/pdfs/GMD-1818-48.pdf#page=6","Abrir facsímil")</f>
        <v>Abrir facsímil</v>
      </c>
      <c r="K4123" s="3" t="s">
        <v>38</v>
      </c>
    </row>
    <row r="4124" spans="1:11" ht="42" customHeight="1">
      <c r="A4124" s="2" t="s">
        <v>9794</v>
      </c>
      <c r="B4124" s="2" t="s">
        <v>9795</v>
      </c>
      <c r="C4124" s="2" t="s">
        <v>26</v>
      </c>
      <c r="D4124" s="2" t="s">
        <v>27</v>
      </c>
      <c r="E4124" s="5">
        <v>-29661</v>
      </c>
      <c r="F4124" s="3" t="s">
        <v>348</v>
      </c>
      <c r="G4124" s="3" t="s">
        <v>2464</v>
      </c>
      <c r="H4124" s="2" t="s">
        <v>36</v>
      </c>
      <c r="I4124" s="2" t="s">
        <v>9801</v>
      </c>
      <c r="J4124" s="3" t="str">
        <f>HYPERLINK("https://www.boe.es/gazeta/dias/1818/10/15/pdfs/GMD-1818-124.pdf#page=6","Abrir facsímil")</f>
        <v>Abrir facsímil</v>
      </c>
      <c r="K4124" s="3" t="s">
        <v>38</v>
      </c>
    </row>
    <row r="4125" spans="1:11" ht="42" customHeight="1">
      <c r="A4125" s="2" t="s">
        <v>9802</v>
      </c>
      <c r="B4125" s="2" t="s">
        <v>9803</v>
      </c>
      <c r="C4125" s="2" t="s">
        <v>26</v>
      </c>
      <c r="D4125" s="2" t="s">
        <v>27</v>
      </c>
      <c r="E4125" s="5">
        <v>-29845</v>
      </c>
      <c r="F4125" s="3" t="s">
        <v>105</v>
      </c>
      <c r="G4125" s="3" t="s">
        <v>106</v>
      </c>
      <c r="H4125" s="2" t="s">
        <v>36</v>
      </c>
      <c r="I4125" s="2" t="s">
        <v>9804</v>
      </c>
      <c r="J4125" s="3" t="str">
        <f>HYPERLINK("https://www.boe.es/gazeta/dias/1818/04/14/pdfs/GMD-1818-45.pdf#page=5","Abrir facsímil")</f>
        <v>Abrir facsímil</v>
      </c>
      <c r="K4125" s="3" t="s">
        <v>38</v>
      </c>
    </row>
    <row r="4126" spans="1:11" ht="42" customHeight="1">
      <c r="A4126" s="2" t="s">
        <v>9805</v>
      </c>
      <c r="B4126" s="2" t="s">
        <v>9806</v>
      </c>
      <c r="C4126" s="2" t="s">
        <v>26</v>
      </c>
      <c r="D4126" s="2" t="s">
        <v>27</v>
      </c>
      <c r="E4126" s="5">
        <v>-29607</v>
      </c>
      <c r="F4126" s="3" t="s">
        <v>704</v>
      </c>
      <c r="G4126" s="3" t="s">
        <v>59</v>
      </c>
      <c r="H4126" s="2" t="s">
        <v>36</v>
      </c>
      <c r="I4126" s="2" t="s">
        <v>9807</v>
      </c>
      <c r="J4126" s="3" t="str">
        <f>HYPERLINK("https://www.boe.es/gazeta/dias/1818/12/08/pdfs/GMD-1818-148.pdf#page=6","Abrir facsímil")</f>
        <v>Abrir facsímil</v>
      </c>
      <c r="K4126" s="3" t="s">
        <v>38</v>
      </c>
    </row>
    <row r="4127" spans="1:11" ht="42" customHeight="1">
      <c r="A4127" s="2" t="s">
        <v>9808</v>
      </c>
      <c r="B4127" s="2" t="s">
        <v>9809</v>
      </c>
      <c r="C4127" s="2" t="s">
        <v>26</v>
      </c>
      <c r="D4127" s="2" t="s">
        <v>27</v>
      </c>
      <c r="E4127" s="5">
        <v>-29654</v>
      </c>
      <c r="F4127" s="3" t="s">
        <v>219</v>
      </c>
      <c r="G4127" s="3" t="s">
        <v>29</v>
      </c>
      <c r="H4127" s="2" t="s">
        <v>36</v>
      </c>
      <c r="I4127" s="2" t="s">
        <v>9810</v>
      </c>
      <c r="J4127" s="3" t="str">
        <f>HYPERLINK("https://www.boe.es/gazeta/dias/1818/10/22/pdfs/GMD-1818-128.pdf#page=4","Abrir facsímil")</f>
        <v>Abrir facsímil</v>
      </c>
      <c r="K4127" s="3" t="s">
        <v>38</v>
      </c>
    </row>
    <row r="4128" spans="1:11" ht="42" customHeight="1">
      <c r="A4128" s="2" t="s">
        <v>9808</v>
      </c>
      <c r="B4128" s="2" t="s">
        <v>9809</v>
      </c>
      <c r="C4128" s="2" t="s">
        <v>26</v>
      </c>
      <c r="D4128" s="2" t="s">
        <v>27</v>
      </c>
      <c r="E4128" s="5">
        <v>-29598</v>
      </c>
      <c r="F4128" s="3" t="s">
        <v>98</v>
      </c>
      <c r="G4128" s="3" t="s">
        <v>29</v>
      </c>
      <c r="H4128" s="2" t="s">
        <v>36</v>
      </c>
      <c r="I4128" s="2" t="s">
        <v>9811</v>
      </c>
      <c r="J4128" s="3" t="str">
        <f>HYPERLINK("https://www.boe.es/gazeta/dias/1818/12/17/pdfs/GMD-1818-152.pdf#page=4","Abrir facsímil")</f>
        <v>Abrir facsímil</v>
      </c>
      <c r="K4128" s="3" t="s">
        <v>38</v>
      </c>
    </row>
    <row r="4129" spans="1:11" ht="42" customHeight="1">
      <c r="A4129" s="2" t="s">
        <v>9808</v>
      </c>
      <c r="B4129" s="2" t="s">
        <v>9809</v>
      </c>
      <c r="C4129" s="2" t="s">
        <v>26</v>
      </c>
      <c r="D4129" s="2" t="s">
        <v>27</v>
      </c>
      <c r="E4129" s="5">
        <v>-29598</v>
      </c>
      <c r="F4129" s="3" t="s">
        <v>98</v>
      </c>
      <c r="G4129" s="3" t="s">
        <v>59</v>
      </c>
      <c r="H4129" s="2" t="s">
        <v>36</v>
      </c>
      <c r="I4129" s="2" t="s">
        <v>9812</v>
      </c>
      <c r="J4129" s="3" t="str">
        <f>HYPERLINK("https://www.boe.es/gazeta/dias/1818/12/17/pdfs/GMD-1818-152.pdf#page=6","Abrir facsímil")</f>
        <v>Abrir facsímil</v>
      </c>
      <c r="K4129" s="3" t="s">
        <v>38</v>
      </c>
    </row>
    <row r="4130" spans="1:11" ht="42" customHeight="1">
      <c r="A4130" s="2" t="s">
        <v>9813</v>
      </c>
      <c r="B4130" s="2" t="s">
        <v>9813</v>
      </c>
      <c r="C4130" s="2" t="s">
        <v>215</v>
      </c>
      <c r="D4130" s="2" t="s">
        <v>18</v>
      </c>
      <c r="E4130" s="5">
        <v>-29617</v>
      </c>
      <c r="F4130" s="3" t="s">
        <v>995</v>
      </c>
      <c r="G4130" s="3" t="s">
        <v>49</v>
      </c>
      <c r="H4130" s="2" t="s">
        <v>36</v>
      </c>
      <c r="I4130" s="2" t="s">
        <v>9814</v>
      </c>
      <c r="J4130" s="3" t="str">
        <f>HYPERLINK("https://www.boe.es/gazeta/dias/1818/11/28/pdfs/GMD-1818-144.pdf#page=1","Abrir facsímil")</f>
        <v>Abrir facsímil</v>
      </c>
      <c r="K4130" s="3" t="s">
        <v>38</v>
      </c>
    </row>
    <row r="4131" spans="1:11" ht="42" customHeight="1">
      <c r="A4131" s="2" t="s">
        <v>9815</v>
      </c>
      <c r="B4131" s="2" t="s">
        <v>9815</v>
      </c>
      <c r="C4131" s="2" t="s">
        <v>26</v>
      </c>
      <c r="D4131" s="2" t="s">
        <v>27</v>
      </c>
      <c r="E4131" s="5">
        <v>-29787</v>
      </c>
      <c r="F4131" s="3" t="s">
        <v>343</v>
      </c>
      <c r="G4131" s="3" t="s">
        <v>120</v>
      </c>
      <c r="H4131" s="2" t="s">
        <v>36</v>
      </c>
      <c r="I4131" s="2" t="s">
        <v>9816</v>
      </c>
      <c r="J4131" s="3" t="str">
        <f>HYPERLINK("https://www.boe.es/gazeta/dias/1818/06/11/pdfs/GMD-1818-70.pdf#page=2","Abrir facsímil")</f>
        <v>Abrir facsímil</v>
      </c>
      <c r="K4131" s="3" t="s">
        <v>38</v>
      </c>
    </row>
    <row r="4132" spans="1:11" ht="42" customHeight="1">
      <c r="A4132" s="2" t="s">
        <v>9817</v>
      </c>
      <c r="B4132" s="2" t="s">
        <v>9818</v>
      </c>
      <c r="C4132" s="2" t="s">
        <v>17</v>
      </c>
      <c r="D4132" s="2" t="s">
        <v>18</v>
      </c>
      <c r="E4132" s="5">
        <v>-29680</v>
      </c>
      <c r="F4132" s="3" t="s">
        <v>865</v>
      </c>
      <c r="G4132" s="3" t="s">
        <v>20</v>
      </c>
      <c r="H4132" s="2" t="s">
        <v>36</v>
      </c>
      <c r="I4132" s="2" t="s">
        <v>9819</v>
      </c>
      <c r="J4132" s="3" t="str">
        <f>HYPERLINK("https://www.boe.es/gazeta/dias/1818/09/26/pdfs/GMD-1818-116.pdf#page=7","Abrir facsímil")</f>
        <v>Abrir facsímil</v>
      </c>
      <c r="K4132" s="3" t="s">
        <v>38</v>
      </c>
    </row>
    <row r="4133" spans="1:11" ht="42" customHeight="1">
      <c r="A4133" s="2" t="s">
        <v>9820</v>
      </c>
      <c r="B4133" s="2" t="s">
        <v>9821</v>
      </c>
      <c r="C4133" s="2" t="s">
        <v>17</v>
      </c>
      <c r="D4133" s="2" t="s">
        <v>18</v>
      </c>
      <c r="E4133" s="5">
        <v>-29698</v>
      </c>
      <c r="F4133" s="3" t="s">
        <v>148</v>
      </c>
      <c r="G4133" s="3" t="s">
        <v>29</v>
      </c>
      <c r="H4133" s="2" t="s">
        <v>36</v>
      </c>
      <c r="I4133" s="2" t="s">
        <v>9822</v>
      </c>
      <c r="J4133" s="3" t="str">
        <f>HYPERLINK("https://www.boe.es/gazeta/dias/1818/09/08/pdfs/GMD-1818-108.pdf#page=4","Abrir facsímil")</f>
        <v>Abrir facsímil</v>
      </c>
      <c r="K4133" s="3" t="s">
        <v>38</v>
      </c>
    </row>
    <row r="4134" spans="1:11" ht="42" customHeight="1">
      <c r="A4134" s="2" t="s">
        <v>9823</v>
      </c>
      <c r="B4134" s="2" t="s">
        <v>9824</v>
      </c>
      <c r="C4134" s="2" t="s">
        <v>63</v>
      </c>
      <c r="D4134" s="2" t="s">
        <v>18</v>
      </c>
      <c r="E4134" s="5">
        <v>-29890</v>
      </c>
      <c r="F4134" s="3" t="s">
        <v>393</v>
      </c>
      <c r="G4134" s="3" t="s">
        <v>394</v>
      </c>
      <c r="H4134" s="2" t="s">
        <v>36</v>
      </c>
      <c r="I4134" s="2" t="s">
        <v>9825</v>
      </c>
      <c r="J4134" s="3" t="str">
        <f>HYPERLINK("https://www.boe.es/gazeta/dias/1818/02/28/pdfs/GMD-1818-26.pdf#page=8","Abrir facsímil")</f>
        <v>Abrir facsímil</v>
      </c>
      <c r="K4134" s="3" t="s">
        <v>38</v>
      </c>
    </row>
    <row r="4135" spans="1:11" ht="42" customHeight="1">
      <c r="A4135" s="2" t="s">
        <v>9826</v>
      </c>
      <c r="B4135" s="2" t="s">
        <v>9827</v>
      </c>
      <c r="C4135" s="2" t="s">
        <v>57</v>
      </c>
      <c r="D4135" s="2" t="s">
        <v>18</v>
      </c>
      <c r="E4135" s="5">
        <v>-29677</v>
      </c>
      <c r="F4135" s="3" t="s">
        <v>157</v>
      </c>
      <c r="G4135" s="3" t="s">
        <v>158</v>
      </c>
      <c r="H4135" s="2" t="s">
        <v>36</v>
      </c>
      <c r="I4135" s="2" t="s">
        <v>9828</v>
      </c>
      <c r="J4135" s="3" t="str">
        <f>HYPERLINK("https://www.boe.es/gazeta/dias/1818/09/29/pdfs/GMD-1818-117.pdf#page=8","Abrir facsímil")</f>
        <v>Abrir facsímil</v>
      </c>
      <c r="K4135" s="3" t="s">
        <v>38</v>
      </c>
    </row>
    <row r="4136" spans="1:11" ht="42" customHeight="1">
      <c r="A4136" s="2" t="s">
        <v>9829</v>
      </c>
      <c r="B4136" s="2" t="s">
        <v>9830</v>
      </c>
      <c r="C4136" s="2" t="s">
        <v>68</v>
      </c>
      <c r="D4136" s="2" t="s">
        <v>69</v>
      </c>
      <c r="E4136" s="5">
        <v>-29607</v>
      </c>
      <c r="F4136" s="3" t="s">
        <v>704</v>
      </c>
      <c r="G4136" s="3" t="s">
        <v>20</v>
      </c>
      <c r="H4136" s="2" t="s">
        <v>36</v>
      </c>
      <c r="I4136" s="2" t="s">
        <v>9831</v>
      </c>
      <c r="J4136" s="3" t="str">
        <f>HYPERLINK("https://www.boe.es/gazeta/dias/1818/12/08/pdfs/GMD-1818-148.pdf#page=7","Abrir facsímil")</f>
        <v>Abrir facsímil</v>
      </c>
      <c r="K4136" s="3" t="s">
        <v>38</v>
      </c>
    </row>
    <row r="4137" spans="1:11" ht="42" customHeight="1">
      <c r="A4137" s="2" t="s">
        <v>9832</v>
      </c>
      <c r="B4137" s="2" t="s">
        <v>9833</v>
      </c>
      <c r="C4137" s="2" t="s">
        <v>63</v>
      </c>
      <c r="D4137" s="2" t="s">
        <v>18</v>
      </c>
      <c r="E4137" s="5">
        <v>-29607</v>
      </c>
      <c r="F4137" s="3" t="s">
        <v>704</v>
      </c>
      <c r="G4137" s="3" t="s">
        <v>20</v>
      </c>
      <c r="H4137" s="2" t="s">
        <v>21</v>
      </c>
      <c r="I4137" s="2" t="s">
        <v>9834</v>
      </c>
      <c r="J4137" s="3" t="str">
        <f>HYPERLINK("https://www.boe.es/gazeta/dias/1818/12/08/pdfs/GMD-1818-148.pdf#page=7","Abrir facsímil")</f>
        <v>Abrir facsímil</v>
      </c>
      <c r="K4137" s="3" t="s">
        <v>23</v>
      </c>
    </row>
    <row r="4138" spans="1:11" ht="42" customHeight="1">
      <c r="A4138" s="2" t="s">
        <v>9835</v>
      </c>
      <c r="B4138" s="2" t="s">
        <v>9836</v>
      </c>
      <c r="C4138" s="2" t="s">
        <v>63</v>
      </c>
      <c r="D4138" s="2" t="s">
        <v>18</v>
      </c>
      <c r="E4138" s="5">
        <v>-29708</v>
      </c>
      <c r="F4138" s="3" t="s">
        <v>413</v>
      </c>
      <c r="G4138" s="3" t="s">
        <v>45</v>
      </c>
      <c r="H4138" s="2" t="s">
        <v>36</v>
      </c>
      <c r="I4138" s="2" t="s">
        <v>9837</v>
      </c>
      <c r="J4138" s="3" t="str">
        <f>HYPERLINK("https://www.boe.es/gazeta/dias/1818/08/29/pdfs/GMD-1818-104.pdf#page=8","Abrir facsímil")</f>
        <v>Abrir facsímil</v>
      </c>
      <c r="K4138" s="3" t="s">
        <v>38</v>
      </c>
    </row>
    <row r="4139" spans="1:11" ht="42" customHeight="1">
      <c r="A4139" s="2" t="s">
        <v>9838</v>
      </c>
      <c r="B4139" s="2" t="s">
        <v>9838</v>
      </c>
      <c r="C4139" s="2" t="s">
        <v>215</v>
      </c>
      <c r="D4139" s="2" t="s">
        <v>18</v>
      </c>
      <c r="E4139" s="5">
        <v>-29621</v>
      </c>
      <c r="F4139" s="3" t="s">
        <v>1561</v>
      </c>
      <c r="G4139" s="3" t="s">
        <v>120</v>
      </c>
      <c r="H4139" s="2" t="s">
        <v>36</v>
      </c>
      <c r="I4139" s="2" t="s">
        <v>9839</v>
      </c>
      <c r="J4139" s="3" t="str">
        <f>HYPERLINK("https://www.boe.es/gazeta/dias/1818/11/24/pdfs/GMD-1818-142.pdf#page=2","Abrir facsímil")</f>
        <v>Abrir facsímil</v>
      </c>
      <c r="K4139" s="3" t="s">
        <v>38</v>
      </c>
    </row>
    <row r="4140" spans="1:11" ht="42" customHeight="1">
      <c r="A4140" s="2" t="s">
        <v>9840</v>
      </c>
      <c r="B4140" s="2" t="s">
        <v>9841</v>
      </c>
      <c r="C4140" s="2" t="s">
        <v>97</v>
      </c>
      <c r="D4140" s="2" t="s">
        <v>18</v>
      </c>
      <c r="E4140" s="5">
        <v>-29901</v>
      </c>
      <c r="F4140" s="3" t="s">
        <v>417</v>
      </c>
      <c r="G4140" s="3" t="s">
        <v>503</v>
      </c>
      <c r="H4140" s="2" t="s">
        <v>36</v>
      </c>
      <c r="I4140" s="2" t="s">
        <v>9842</v>
      </c>
      <c r="J4140" s="3" t="str">
        <f>HYPERLINK("https://www.boe.es/gazeta/dias/1818/02/17/pdfs/GMD-1818-21.pdf#page=10","Abrir facsímil")</f>
        <v>Abrir facsímil</v>
      </c>
      <c r="K4140" s="3" t="s">
        <v>38</v>
      </c>
    </row>
    <row r="4141" spans="1:11" ht="42" customHeight="1">
      <c r="A4141" s="2" t="s">
        <v>9843</v>
      </c>
      <c r="B4141" s="2" t="s">
        <v>9844</v>
      </c>
      <c r="C4141" s="2" t="s">
        <v>26</v>
      </c>
      <c r="D4141" s="2" t="s">
        <v>27</v>
      </c>
      <c r="E4141" s="5">
        <v>-29948</v>
      </c>
      <c r="F4141" s="3" t="s">
        <v>199</v>
      </c>
      <c r="G4141" s="3" t="s">
        <v>106</v>
      </c>
      <c r="H4141" s="2" t="s">
        <v>36</v>
      </c>
      <c r="I4141" s="2" t="s">
        <v>9845</v>
      </c>
      <c r="J4141" s="3" t="str">
        <f>HYPERLINK("https://www.boe.es/gazeta/dias/1818/01/01/pdfs/GMD-1818-1.pdf#page=5","Abrir facsímil")</f>
        <v>Abrir facsímil</v>
      </c>
      <c r="K4141" s="3" t="s">
        <v>38</v>
      </c>
    </row>
    <row r="4142" spans="1:11" ht="42" customHeight="1">
      <c r="A4142" s="2" t="s">
        <v>9846</v>
      </c>
      <c r="B4142" s="2" t="s">
        <v>9847</v>
      </c>
      <c r="C4142" s="2" t="s">
        <v>26</v>
      </c>
      <c r="D4142" s="2" t="s">
        <v>27</v>
      </c>
      <c r="E4142" s="5">
        <v>-29878</v>
      </c>
      <c r="F4142" s="3" t="s">
        <v>353</v>
      </c>
      <c r="G4142" s="3" t="s">
        <v>29</v>
      </c>
      <c r="H4142" s="2" t="s">
        <v>36</v>
      </c>
      <c r="I4142" s="2" t="s">
        <v>9848</v>
      </c>
      <c r="J4142" s="3" t="str">
        <f>HYPERLINK("https://www.boe.es/gazeta/dias/1818/03/12/pdfs/GMD-1818-31.pdf#page=4","Abrir facsímil")</f>
        <v>Abrir facsímil</v>
      </c>
      <c r="K4142" s="3" t="s">
        <v>38</v>
      </c>
    </row>
    <row r="4143" spans="1:11" ht="42" customHeight="1">
      <c r="A4143" s="2" t="s">
        <v>9846</v>
      </c>
      <c r="B4143" s="2" t="s">
        <v>9847</v>
      </c>
      <c r="C4143" s="2" t="s">
        <v>26</v>
      </c>
      <c r="D4143" s="2" t="s">
        <v>27</v>
      </c>
      <c r="E4143" s="5">
        <v>-29876</v>
      </c>
      <c r="F4143" s="3" t="s">
        <v>338</v>
      </c>
      <c r="G4143" s="3" t="s">
        <v>106</v>
      </c>
      <c r="H4143" s="2" t="s">
        <v>36</v>
      </c>
      <c r="I4143" s="2" t="s">
        <v>9849</v>
      </c>
      <c r="J4143" s="3" t="str">
        <f>HYPERLINK("https://www.boe.es/gazeta/dias/1818/03/14/pdfs/GMD-1818-32.pdf#page=5","Abrir facsímil")</f>
        <v>Abrir facsímil</v>
      </c>
      <c r="K4143" s="3" t="s">
        <v>38</v>
      </c>
    </row>
    <row r="4144" spans="1:11" ht="42" customHeight="1">
      <c r="A4144" s="2" t="s">
        <v>9850</v>
      </c>
      <c r="B4144" s="2" t="s">
        <v>9851</v>
      </c>
      <c r="C4144" s="2" t="s">
        <v>26</v>
      </c>
      <c r="D4144" s="2" t="s">
        <v>27</v>
      </c>
      <c r="E4144" s="5">
        <v>-29633</v>
      </c>
      <c r="F4144" s="3" t="s">
        <v>2162</v>
      </c>
      <c r="G4144" s="3" t="s">
        <v>20</v>
      </c>
      <c r="H4144" s="2" t="s">
        <v>36</v>
      </c>
      <c r="I4144" s="2" t="s">
        <v>9852</v>
      </c>
      <c r="J4144" s="3" t="str">
        <f>HYPERLINK("https://www.boe.es/gazeta/dias/1818/11/12/pdfs/GMD-1818-137.pdf#page=7","Abrir facsímil")</f>
        <v>Abrir facsímil</v>
      </c>
      <c r="K4144" s="3" t="s">
        <v>38</v>
      </c>
    </row>
    <row r="4145" spans="1:11" ht="42" customHeight="1">
      <c r="A4145" s="2" t="s">
        <v>9853</v>
      </c>
      <c r="B4145" s="2" t="s">
        <v>9854</v>
      </c>
      <c r="C4145" s="2" t="s">
        <v>26</v>
      </c>
      <c r="D4145" s="2" t="s">
        <v>27</v>
      </c>
      <c r="E4145" s="5">
        <v>-29726</v>
      </c>
      <c r="F4145" s="3" t="s">
        <v>70</v>
      </c>
      <c r="G4145" s="3" t="s">
        <v>736</v>
      </c>
      <c r="H4145" s="2" t="s">
        <v>36</v>
      </c>
      <c r="I4145" s="2" t="s">
        <v>9855</v>
      </c>
      <c r="J4145" s="3" t="str">
        <f>HYPERLINK("https://www.boe.es/gazeta/dias/1818/08/11/pdfs/GMD-1818-96.pdf#page=14","Abrir facsímil")</f>
        <v>Abrir facsímil</v>
      </c>
      <c r="K4145" s="3" t="s">
        <v>38</v>
      </c>
    </row>
    <row r="4146" spans="1:11" ht="42" customHeight="1">
      <c r="A4146" s="2" t="s">
        <v>9856</v>
      </c>
      <c r="B4146" s="2" t="s">
        <v>9857</v>
      </c>
      <c r="C4146" s="2" t="s">
        <v>68</v>
      </c>
      <c r="D4146" s="2" t="s">
        <v>69</v>
      </c>
      <c r="E4146" s="5">
        <v>-29869</v>
      </c>
      <c r="F4146" s="3" t="s">
        <v>140</v>
      </c>
      <c r="G4146" s="3" t="s">
        <v>59</v>
      </c>
      <c r="H4146" s="2" t="s">
        <v>21</v>
      </c>
      <c r="I4146" s="2" t="s">
        <v>9858</v>
      </c>
      <c r="J4146" s="3" t="str">
        <f>HYPERLINK("https://www.boe.es/gazeta/dias/1818/03/21/pdfs/GMD-1818-35.pdf#page=6","Abrir facsímil")</f>
        <v>Abrir facsímil</v>
      </c>
      <c r="K4146" s="3" t="s">
        <v>23</v>
      </c>
    </row>
    <row r="4147" spans="1:11" ht="42" customHeight="1">
      <c r="A4147" s="2" t="s">
        <v>9859</v>
      </c>
      <c r="B4147" s="2" t="s">
        <v>9860</v>
      </c>
      <c r="C4147" s="2" t="s">
        <v>33</v>
      </c>
      <c r="D4147" s="2" t="s">
        <v>18</v>
      </c>
      <c r="E4147" s="5">
        <v>-29736</v>
      </c>
      <c r="F4147" s="3" t="s">
        <v>581</v>
      </c>
      <c r="G4147" s="3" t="s">
        <v>106</v>
      </c>
      <c r="H4147" s="2" t="s">
        <v>36</v>
      </c>
      <c r="I4147" s="2" t="s">
        <v>9861</v>
      </c>
      <c r="J4147" s="3" t="str">
        <f>HYPERLINK("https://www.boe.es/gazeta/dias/1818/08/01/pdfs/GMD-1818-92.pdf#page=5","Abrir facsímil")</f>
        <v>Abrir facsímil</v>
      </c>
      <c r="K4147" s="3" t="s">
        <v>38</v>
      </c>
    </row>
    <row r="4148" spans="1:11" ht="42" customHeight="1">
      <c r="A4148" s="2" t="s">
        <v>9862</v>
      </c>
      <c r="B4148" s="2" t="s">
        <v>9863</v>
      </c>
      <c r="C4148" s="2" t="s">
        <v>57</v>
      </c>
      <c r="D4148" s="2" t="s">
        <v>18</v>
      </c>
      <c r="E4148" s="5">
        <v>-29736</v>
      </c>
      <c r="F4148" s="3" t="s">
        <v>581</v>
      </c>
      <c r="G4148" s="3" t="s">
        <v>59</v>
      </c>
      <c r="H4148" s="2" t="s">
        <v>36</v>
      </c>
      <c r="I4148" s="2" t="s">
        <v>9864</v>
      </c>
      <c r="J4148" s="3" t="str">
        <f>HYPERLINK("https://www.boe.es/gazeta/dias/1818/08/01/pdfs/GMD-1818-92.pdf#page=6","Abrir facsímil")</f>
        <v>Abrir facsímil</v>
      </c>
      <c r="K4148" s="3" t="s">
        <v>38</v>
      </c>
    </row>
    <row r="4149" spans="1:11" ht="42" customHeight="1">
      <c r="A4149" s="2" t="s">
        <v>9865</v>
      </c>
      <c r="B4149" s="2" t="s">
        <v>9866</v>
      </c>
      <c r="C4149" s="2" t="s">
        <v>17</v>
      </c>
      <c r="D4149" s="2" t="s">
        <v>18</v>
      </c>
      <c r="E4149" s="5">
        <v>-29841</v>
      </c>
      <c r="F4149" s="3" t="s">
        <v>19</v>
      </c>
      <c r="G4149" s="3" t="s">
        <v>106</v>
      </c>
      <c r="H4149" s="2" t="s">
        <v>36</v>
      </c>
      <c r="I4149" s="2" t="s">
        <v>9867</v>
      </c>
      <c r="J4149" s="3" t="str">
        <f>HYPERLINK("https://www.boe.es/gazeta/dias/1818/04/18/pdfs/GMD-1818-47.pdf#page=5","Abrir facsímil")</f>
        <v>Abrir facsímil</v>
      </c>
      <c r="K4149" s="3" t="s">
        <v>38</v>
      </c>
    </row>
    <row r="4150" spans="1:11" ht="42" customHeight="1">
      <c r="A4150" s="2" t="s">
        <v>9868</v>
      </c>
      <c r="B4150" s="2" t="s">
        <v>9869</v>
      </c>
      <c r="C4150" s="2" t="s">
        <v>17</v>
      </c>
      <c r="D4150" s="2" t="s">
        <v>18</v>
      </c>
      <c r="E4150" s="5">
        <v>-29904</v>
      </c>
      <c r="F4150" s="3" t="s">
        <v>451</v>
      </c>
      <c r="G4150" s="3" t="s">
        <v>45</v>
      </c>
      <c r="H4150" s="2" t="s">
        <v>36</v>
      </c>
      <c r="I4150" s="2" t="s">
        <v>9870</v>
      </c>
      <c r="J4150" s="3" t="str">
        <f>HYPERLINK("https://www.boe.es/gazeta/dias/1818/02/14/pdfs/GMD-1818-20.pdf#page=8","Abrir facsímil")</f>
        <v>Abrir facsímil</v>
      </c>
      <c r="K4150" s="3" t="s">
        <v>38</v>
      </c>
    </row>
    <row r="4151" spans="1:11" ht="42" customHeight="1">
      <c r="A4151" s="2" t="s">
        <v>9871</v>
      </c>
      <c r="B4151" s="2" t="s">
        <v>9872</v>
      </c>
      <c r="C4151" s="2" t="s">
        <v>17</v>
      </c>
      <c r="D4151" s="2" t="s">
        <v>18</v>
      </c>
      <c r="E4151" s="5">
        <v>-29745</v>
      </c>
      <c r="F4151" s="3" t="s">
        <v>409</v>
      </c>
      <c r="G4151" s="3" t="s">
        <v>45</v>
      </c>
      <c r="H4151" s="2" t="s">
        <v>36</v>
      </c>
      <c r="I4151" s="2" t="s">
        <v>9873</v>
      </c>
      <c r="J4151" s="3" t="str">
        <f>HYPERLINK("https://www.boe.es/gazeta/dias/1818/07/23/pdfs/GMD-1818-88.pdf#page=8","Abrir facsímil")</f>
        <v>Abrir facsímil</v>
      </c>
      <c r="K4151" s="3" t="s">
        <v>38</v>
      </c>
    </row>
    <row r="4152" spans="1:11" ht="42" customHeight="1">
      <c r="A4152" s="2" t="s">
        <v>9874</v>
      </c>
      <c r="B4152" s="2" t="s">
        <v>9875</v>
      </c>
      <c r="C4152" s="2" t="s">
        <v>17</v>
      </c>
      <c r="D4152" s="2" t="s">
        <v>18</v>
      </c>
      <c r="E4152" s="5">
        <v>-29631</v>
      </c>
      <c r="F4152" s="3" t="s">
        <v>743</v>
      </c>
      <c r="G4152" s="3" t="s">
        <v>59</v>
      </c>
      <c r="H4152" s="2" t="s">
        <v>36</v>
      </c>
      <c r="I4152" s="2" t="s">
        <v>9876</v>
      </c>
      <c r="J4152" s="3" t="str">
        <f>HYPERLINK("https://www.boe.es/gazeta/dias/1818/11/14/pdfs/GMD-1818-138.pdf#page=6","Abrir facsímil")</f>
        <v>Abrir facsímil</v>
      </c>
      <c r="K4152" s="3" t="s">
        <v>38</v>
      </c>
    </row>
    <row r="4153" spans="1:11" ht="42" customHeight="1">
      <c r="A4153" s="2" t="s">
        <v>9877</v>
      </c>
      <c r="B4153" s="2" t="s">
        <v>9878</v>
      </c>
      <c r="C4153" s="2" t="s">
        <v>68</v>
      </c>
      <c r="D4153" s="2" t="s">
        <v>69</v>
      </c>
      <c r="E4153" s="5">
        <v>-29656</v>
      </c>
      <c r="F4153" s="3" t="s">
        <v>601</v>
      </c>
      <c r="G4153" s="3" t="s">
        <v>45</v>
      </c>
      <c r="H4153" s="2" t="s">
        <v>36</v>
      </c>
      <c r="I4153" s="2" t="s">
        <v>9879</v>
      </c>
      <c r="J4153" s="3" t="str">
        <f>HYPERLINK("https://www.boe.es/gazeta/dias/1818/10/20/pdfs/GMD-1818-127.pdf#page=8","Abrir facsímil")</f>
        <v>Abrir facsímil</v>
      </c>
      <c r="K4153" s="3" t="s">
        <v>38</v>
      </c>
    </row>
    <row r="4154" spans="1:11" ht="42" customHeight="1">
      <c r="A4154" s="2" t="s">
        <v>9880</v>
      </c>
      <c r="B4154" s="2" t="s">
        <v>9881</v>
      </c>
      <c r="C4154" s="2" t="s">
        <v>68</v>
      </c>
      <c r="D4154" s="2" t="s">
        <v>69</v>
      </c>
      <c r="E4154" s="5">
        <v>-29780</v>
      </c>
      <c r="F4154" s="3" t="s">
        <v>461</v>
      </c>
      <c r="G4154" s="3" t="s">
        <v>20</v>
      </c>
      <c r="H4154" s="2" t="s">
        <v>36</v>
      </c>
      <c r="I4154" s="2" t="s">
        <v>9882</v>
      </c>
      <c r="J4154" s="3" t="str">
        <f>HYPERLINK("https://www.boe.es/gazeta/dias/1818/06/18/pdfs/GMD-1818-73.pdf#page=7","Abrir facsímil")</f>
        <v>Abrir facsímil</v>
      </c>
      <c r="K4154" s="3" t="s">
        <v>38</v>
      </c>
    </row>
    <row r="4155" spans="1:11" ht="42" customHeight="1">
      <c r="A4155" s="2" t="s">
        <v>9883</v>
      </c>
      <c r="B4155" s="2" t="s">
        <v>9884</v>
      </c>
      <c r="C4155" s="2" t="s">
        <v>26</v>
      </c>
      <c r="D4155" s="2" t="s">
        <v>27</v>
      </c>
      <c r="E4155" s="5">
        <v>-29869</v>
      </c>
      <c r="F4155" s="3" t="s">
        <v>140</v>
      </c>
      <c r="G4155" s="3" t="s">
        <v>45</v>
      </c>
      <c r="H4155" s="2" t="s">
        <v>36</v>
      </c>
      <c r="I4155" s="2" t="s">
        <v>9885</v>
      </c>
      <c r="J4155" s="3" t="str">
        <f>HYPERLINK("https://www.boe.es/gazeta/dias/1818/03/21/pdfs/GMD-1818-35.pdf#page=8","Abrir facsímil")</f>
        <v>Abrir facsímil</v>
      </c>
      <c r="K4155" s="3" t="s">
        <v>38</v>
      </c>
    </row>
    <row r="4156" spans="1:11" ht="42" customHeight="1">
      <c r="A4156" s="2" t="s">
        <v>9886</v>
      </c>
      <c r="B4156" s="2" t="s">
        <v>9887</v>
      </c>
      <c r="C4156" s="2" t="s">
        <v>26</v>
      </c>
      <c r="D4156" s="2" t="s">
        <v>27</v>
      </c>
      <c r="E4156" s="5">
        <v>-29722</v>
      </c>
      <c r="F4156" s="3" t="s">
        <v>1127</v>
      </c>
      <c r="G4156" s="3" t="s">
        <v>106</v>
      </c>
      <c r="H4156" s="2" t="s">
        <v>36</v>
      </c>
      <c r="I4156" s="2" t="s">
        <v>9888</v>
      </c>
      <c r="J4156" s="3" t="str">
        <f>HYPERLINK("https://www.boe.es/gazeta/dias/1818/08/15/pdfs/GMD-1818-98.pdf#page=5","Abrir facsímil")</f>
        <v>Abrir facsímil</v>
      </c>
      <c r="K4156" s="3" t="s">
        <v>38</v>
      </c>
    </row>
    <row r="4157" spans="1:11" ht="42" customHeight="1">
      <c r="A4157" s="2" t="s">
        <v>9889</v>
      </c>
      <c r="B4157" s="2" t="s">
        <v>9889</v>
      </c>
      <c r="C4157" s="2" t="s">
        <v>26</v>
      </c>
      <c r="D4157" s="2" t="s">
        <v>27</v>
      </c>
      <c r="E4157" s="5">
        <v>-29824</v>
      </c>
      <c r="F4157" s="3" t="s">
        <v>101</v>
      </c>
      <c r="G4157" s="3" t="s">
        <v>49</v>
      </c>
      <c r="H4157" s="2" t="s">
        <v>36</v>
      </c>
      <c r="I4157" s="2" t="s">
        <v>9890</v>
      </c>
      <c r="J4157" s="3" t="str">
        <f>HYPERLINK("https://www.boe.es/gazeta/dias/1818/05/05/pdfs/GMD-1818-54.pdf#page=1","Abrir facsímil")</f>
        <v>Abrir facsímil</v>
      </c>
      <c r="K4157" s="3" t="s">
        <v>38</v>
      </c>
    </row>
    <row r="4158" spans="1:11" ht="42" customHeight="1">
      <c r="A4158" s="2" t="s">
        <v>9891</v>
      </c>
      <c r="B4158" s="2" t="s">
        <v>9892</v>
      </c>
      <c r="C4158" s="2" t="s">
        <v>17</v>
      </c>
      <c r="D4158" s="2" t="s">
        <v>18</v>
      </c>
      <c r="E4158" s="5">
        <v>-29698</v>
      </c>
      <c r="F4158" s="3" t="s">
        <v>148</v>
      </c>
      <c r="G4158" s="3" t="s">
        <v>29</v>
      </c>
      <c r="H4158" s="2" t="s">
        <v>36</v>
      </c>
      <c r="I4158" s="2" t="s">
        <v>9893</v>
      </c>
      <c r="J4158" s="3" t="str">
        <f>HYPERLINK("https://www.boe.es/gazeta/dias/1818/09/08/pdfs/GMD-1818-108.pdf#page=4","Abrir facsímil")</f>
        <v>Abrir facsímil</v>
      </c>
      <c r="K4158" s="3" t="s">
        <v>38</v>
      </c>
    </row>
    <row r="4159" spans="1:11" ht="42" customHeight="1">
      <c r="A4159" s="2" t="s">
        <v>9894</v>
      </c>
      <c r="B4159" s="2" t="s">
        <v>9895</v>
      </c>
      <c r="C4159" s="2" t="s">
        <v>33</v>
      </c>
      <c r="D4159" s="2" t="s">
        <v>18</v>
      </c>
      <c r="E4159" s="5">
        <v>-29736</v>
      </c>
      <c r="F4159" s="3" t="s">
        <v>581</v>
      </c>
      <c r="G4159" s="3" t="s">
        <v>106</v>
      </c>
      <c r="H4159" s="2" t="s">
        <v>36</v>
      </c>
      <c r="I4159" s="2" t="s">
        <v>9896</v>
      </c>
      <c r="J4159" s="3" t="str">
        <f>HYPERLINK("https://www.boe.es/gazeta/dias/1818/08/01/pdfs/GMD-1818-92.pdf#page=5","Abrir facsímil")</f>
        <v>Abrir facsímil</v>
      </c>
      <c r="K4159" s="3" t="s">
        <v>38</v>
      </c>
    </row>
    <row r="4160" spans="1:11" ht="42" customHeight="1">
      <c r="A4160" s="2" t="s">
        <v>9897</v>
      </c>
      <c r="B4160" s="2" t="s">
        <v>9898</v>
      </c>
      <c r="C4160" s="2" t="s">
        <v>26</v>
      </c>
      <c r="D4160" s="2" t="s">
        <v>27</v>
      </c>
      <c r="E4160" s="5">
        <v>-29836</v>
      </c>
      <c r="F4160" s="3" t="s">
        <v>119</v>
      </c>
      <c r="G4160" s="3" t="s">
        <v>20</v>
      </c>
      <c r="H4160" s="2" t="s">
        <v>36</v>
      </c>
      <c r="I4160" s="2" t="s">
        <v>9899</v>
      </c>
      <c r="J4160" s="3" t="str">
        <f>HYPERLINK("https://www.boe.es/gazeta/dias/1818/04/23/pdfs/GMD-1818-49.pdf#page=7","Abrir facsímil")</f>
        <v>Abrir facsímil</v>
      </c>
      <c r="K4160" s="3" t="s">
        <v>38</v>
      </c>
    </row>
    <row r="4161" spans="1:11" ht="42" customHeight="1">
      <c r="A4161" s="2" t="s">
        <v>9900</v>
      </c>
      <c r="B4161" s="2" t="s">
        <v>9901</v>
      </c>
      <c r="C4161" s="2" t="s">
        <v>17</v>
      </c>
      <c r="D4161" s="2" t="s">
        <v>18</v>
      </c>
      <c r="E4161" s="5">
        <v>-29824</v>
      </c>
      <c r="F4161" s="3" t="s">
        <v>101</v>
      </c>
      <c r="G4161" s="3" t="s">
        <v>20</v>
      </c>
      <c r="H4161" s="2" t="s">
        <v>36</v>
      </c>
      <c r="I4161" s="2" t="s">
        <v>9902</v>
      </c>
      <c r="J4161" s="3" t="str">
        <f>HYPERLINK("https://www.boe.es/gazeta/dias/1818/05/05/pdfs/GMD-1818-54.pdf#page=7","Abrir facsímil")</f>
        <v>Abrir facsímil</v>
      </c>
      <c r="K4161" s="3" t="s">
        <v>38</v>
      </c>
    </row>
    <row r="4162" spans="1:11" ht="42" customHeight="1">
      <c r="A4162" s="2" t="s">
        <v>9903</v>
      </c>
      <c r="B4162" s="2" t="s">
        <v>9904</v>
      </c>
      <c r="C4162" s="2" t="s">
        <v>26</v>
      </c>
      <c r="D4162" s="2" t="s">
        <v>27</v>
      </c>
      <c r="E4162" s="5">
        <v>-29913</v>
      </c>
      <c r="F4162" s="3" t="s">
        <v>449</v>
      </c>
      <c r="G4162" s="3" t="s">
        <v>45</v>
      </c>
      <c r="H4162" s="2" t="s">
        <v>36</v>
      </c>
      <c r="I4162" s="2" t="s">
        <v>9905</v>
      </c>
      <c r="J4162" s="3" t="str">
        <f>HYPERLINK("https://www.boe.es/gazeta/dias/1818/02/05/pdfs/GMD-1818-16.pdf#page=8","Abrir facsímil")</f>
        <v>Abrir facsímil</v>
      </c>
      <c r="K4162" s="3" t="s">
        <v>38</v>
      </c>
    </row>
    <row r="4163" spans="1:11" ht="42" customHeight="1">
      <c r="A4163" s="2" t="s">
        <v>9906</v>
      </c>
      <c r="B4163" s="2" t="s">
        <v>9907</v>
      </c>
      <c r="C4163" s="2" t="s">
        <v>26</v>
      </c>
      <c r="D4163" s="2" t="s">
        <v>27</v>
      </c>
      <c r="E4163" s="5">
        <v>-29764</v>
      </c>
      <c r="F4163" s="3" t="s">
        <v>464</v>
      </c>
      <c r="G4163" s="3" t="s">
        <v>59</v>
      </c>
      <c r="H4163" s="2" t="s">
        <v>36</v>
      </c>
      <c r="I4163" s="2" t="s">
        <v>9908</v>
      </c>
      <c r="J4163" s="3" t="str">
        <f>HYPERLINK("https://www.boe.es/gazeta/dias/1818/07/04/pdfs/GMD-1818-80.pdf#page=6","Abrir facsímil")</f>
        <v>Abrir facsímil</v>
      </c>
      <c r="K4163" s="3" t="s">
        <v>38</v>
      </c>
    </row>
    <row r="4164" spans="1:11" ht="42" customHeight="1">
      <c r="A4164" s="2" t="s">
        <v>9909</v>
      </c>
      <c r="B4164" s="2" t="s">
        <v>9910</v>
      </c>
      <c r="C4164" s="2" t="s">
        <v>26</v>
      </c>
      <c r="D4164" s="2" t="s">
        <v>27</v>
      </c>
      <c r="E4164" s="5">
        <v>-29834</v>
      </c>
      <c r="F4164" s="3" t="s">
        <v>457</v>
      </c>
      <c r="G4164" s="3" t="s">
        <v>20</v>
      </c>
      <c r="H4164" s="2" t="s">
        <v>21</v>
      </c>
      <c r="I4164" s="2" t="s">
        <v>9911</v>
      </c>
      <c r="J4164" s="3" t="str">
        <f>HYPERLINK("https://www.boe.es/gazeta/dias/1818/04/25/pdfs/GMD-1818-50.pdf#page=7","Abrir facsímil")</f>
        <v>Abrir facsímil</v>
      </c>
      <c r="K4164" s="3" t="s">
        <v>23</v>
      </c>
    </row>
    <row r="4165" spans="1:11" ht="42" customHeight="1">
      <c r="A4165" s="2" t="s">
        <v>9912</v>
      </c>
      <c r="B4165" s="2" t="s">
        <v>9913</v>
      </c>
      <c r="C4165" s="2" t="s">
        <v>68</v>
      </c>
      <c r="D4165" s="2" t="s">
        <v>69</v>
      </c>
      <c r="E4165" s="5">
        <v>-29586</v>
      </c>
      <c r="F4165" s="3" t="s">
        <v>683</v>
      </c>
      <c r="G4165" s="3" t="s">
        <v>45</v>
      </c>
      <c r="H4165" s="2" t="s">
        <v>36</v>
      </c>
      <c r="I4165" s="2" t="s">
        <v>9914</v>
      </c>
      <c r="J4165" s="3" t="str">
        <f>HYPERLINK("https://www.boe.es/gazeta/dias/1818/12/29/pdfs/GMD-1818-158.pdf#page=8","Abrir facsímil")</f>
        <v>Abrir facsímil</v>
      </c>
      <c r="K4165" s="3" t="s">
        <v>38</v>
      </c>
    </row>
    <row r="4166" spans="1:11" ht="42" customHeight="1">
      <c r="A4166" s="2" t="s">
        <v>9915</v>
      </c>
      <c r="B4166" s="2" t="s">
        <v>9916</v>
      </c>
      <c r="C4166" s="2" t="s">
        <v>26</v>
      </c>
      <c r="D4166" s="2" t="s">
        <v>27</v>
      </c>
      <c r="E4166" s="5">
        <v>-29904</v>
      </c>
      <c r="F4166" s="3" t="s">
        <v>451</v>
      </c>
      <c r="G4166" s="3" t="s">
        <v>59</v>
      </c>
      <c r="H4166" s="2" t="s">
        <v>36</v>
      </c>
      <c r="I4166" s="2" t="s">
        <v>9917</v>
      </c>
      <c r="J4166" s="3" t="str">
        <f>HYPERLINK("https://www.boe.es/gazeta/dias/1818/02/14/pdfs/GMD-1818-20.pdf#page=6","Abrir facsímil")</f>
        <v>Abrir facsímil</v>
      </c>
      <c r="K4166" s="3" t="s">
        <v>38</v>
      </c>
    </row>
    <row r="4167" spans="1:11" ht="42" customHeight="1">
      <c r="A4167" s="2" t="s">
        <v>9918</v>
      </c>
      <c r="B4167" s="2" t="s">
        <v>9919</v>
      </c>
      <c r="C4167" s="2" t="s">
        <v>26</v>
      </c>
      <c r="D4167" s="2" t="s">
        <v>27</v>
      </c>
      <c r="E4167" s="5">
        <v>-29754</v>
      </c>
      <c r="F4167" s="3" t="s">
        <v>466</v>
      </c>
      <c r="G4167" s="3" t="s">
        <v>59</v>
      </c>
      <c r="H4167" s="2" t="s">
        <v>21</v>
      </c>
      <c r="I4167" s="2" t="s">
        <v>9920</v>
      </c>
      <c r="J4167" s="3" t="str">
        <f>HYPERLINK("https://www.boe.es/gazeta/dias/1818/07/14/pdfs/GMD-1818-84.pdf#page=6","Abrir facsímil")</f>
        <v>Abrir facsímil</v>
      </c>
      <c r="K4167" s="3" t="s">
        <v>23</v>
      </c>
    </row>
    <row r="4168" spans="1:11" ht="42" customHeight="1">
      <c r="A4168" s="2" t="s">
        <v>9921</v>
      </c>
      <c r="B4168" s="2" t="s">
        <v>9922</v>
      </c>
      <c r="C4168" s="2" t="s">
        <v>26</v>
      </c>
      <c r="D4168" s="2" t="s">
        <v>27</v>
      </c>
      <c r="E4168" s="5">
        <v>-29887</v>
      </c>
      <c r="F4168" s="3" t="s">
        <v>613</v>
      </c>
      <c r="G4168" s="3" t="s">
        <v>59</v>
      </c>
      <c r="H4168" s="2" t="s">
        <v>36</v>
      </c>
      <c r="I4168" s="2" t="s">
        <v>9923</v>
      </c>
      <c r="J4168" s="3" t="str">
        <f>HYPERLINK("https://www.boe.es/gazeta/dias/1818/03/03/pdfs/GMD-1818-27.pdf#page=6","Abrir facsímil")</f>
        <v>Abrir facsímil</v>
      </c>
      <c r="K4168" s="3" t="s">
        <v>38</v>
      </c>
    </row>
    <row r="4169" spans="1:11" ht="42" customHeight="1">
      <c r="A4169" s="2" t="s">
        <v>9921</v>
      </c>
      <c r="B4169" s="2" t="s">
        <v>9922</v>
      </c>
      <c r="C4169" s="2" t="s">
        <v>26</v>
      </c>
      <c r="D4169" s="2" t="s">
        <v>27</v>
      </c>
      <c r="E4169" s="5">
        <v>-29586</v>
      </c>
      <c r="F4169" s="3" t="s">
        <v>683</v>
      </c>
      <c r="G4169" s="3" t="s">
        <v>20</v>
      </c>
      <c r="H4169" s="2" t="s">
        <v>36</v>
      </c>
      <c r="I4169" s="2" t="s">
        <v>9924</v>
      </c>
      <c r="J4169" s="3" t="str">
        <f>HYPERLINK("https://www.boe.es/gazeta/dias/1818/12/29/pdfs/GMD-1818-158.pdf#page=7","Abrir facsímil")</f>
        <v>Abrir facsímil</v>
      </c>
      <c r="K4169" s="3" t="s">
        <v>38</v>
      </c>
    </row>
    <row r="4170" spans="1:11" ht="42" customHeight="1">
      <c r="A4170" s="2" t="s">
        <v>9925</v>
      </c>
      <c r="B4170" s="2" t="s">
        <v>9926</v>
      </c>
      <c r="C4170" s="2" t="s">
        <v>26</v>
      </c>
      <c r="D4170" s="2" t="s">
        <v>27</v>
      </c>
      <c r="E4170" s="5">
        <v>-29764</v>
      </c>
      <c r="F4170" s="3" t="s">
        <v>464</v>
      </c>
      <c r="G4170" s="3" t="s">
        <v>29</v>
      </c>
      <c r="H4170" s="2" t="s">
        <v>36</v>
      </c>
      <c r="I4170" s="2" t="s">
        <v>9927</v>
      </c>
      <c r="J4170" s="3" t="str">
        <f>HYPERLINK("https://www.boe.es/gazeta/dias/1818/07/04/pdfs/GMD-1818-80.pdf#page=4","Abrir facsímil")</f>
        <v>Abrir facsímil</v>
      </c>
      <c r="K4170" s="3" t="s">
        <v>38</v>
      </c>
    </row>
    <row r="4171" spans="1:11" ht="42" customHeight="1">
      <c r="A4171" s="2" t="s">
        <v>9925</v>
      </c>
      <c r="B4171" s="2" t="s">
        <v>9926</v>
      </c>
      <c r="C4171" s="2" t="s">
        <v>26</v>
      </c>
      <c r="D4171" s="2" t="s">
        <v>27</v>
      </c>
      <c r="E4171" s="5">
        <v>-29764</v>
      </c>
      <c r="F4171" s="3" t="s">
        <v>464</v>
      </c>
      <c r="G4171" s="3" t="s">
        <v>59</v>
      </c>
      <c r="H4171" s="2" t="s">
        <v>36</v>
      </c>
      <c r="I4171" s="2" t="s">
        <v>9928</v>
      </c>
      <c r="J4171" s="3" t="str">
        <f>HYPERLINK("https://www.boe.es/gazeta/dias/1818/07/04/pdfs/GMD-1818-80.pdf#page=6","Abrir facsímil")</f>
        <v>Abrir facsímil</v>
      </c>
      <c r="K4171" s="3" t="s">
        <v>38</v>
      </c>
    </row>
    <row r="4172" spans="1:11" ht="42" customHeight="1">
      <c r="A4172" s="2" t="s">
        <v>9929</v>
      </c>
      <c r="B4172" s="2" t="s">
        <v>9930</v>
      </c>
      <c r="C4172" s="2" t="s">
        <v>26</v>
      </c>
      <c r="D4172" s="2" t="s">
        <v>27</v>
      </c>
      <c r="E4172" s="5">
        <v>-29934</v>
      </c>
      <c r="F4172" s="3" t="s">
        <v>53</v>
      </c>
      <c r="G4172" s="3" t="s">
        <v>59</v>
      </c>
      <c r="H4172" s="2" t="s">
        <v>36</v>
      </c>
      <c r="I4172" s="2" t="s">
        <v>9931</v>
      </c>
      <c r="J4172" s="3" t="str">
        <f>HYPERLINK("https://www.boe.es/gazeta/dias/1818/01/15/pdfs/GMD-1818-7.pdf#page=6","Abrir facsímil")</f>
        <v>Abrir facsímil</v>
      </c>
      <c r="K4172" s="3" t="s">
        <v>38</v>
      </c>
    </row>
    <row r="4173" spans="1:11" ht="42" customHeight="1">
      <c r="A4173" s="2" t="s">
        <v>9932</v>
      </c>
      <c r="B4173" s="2" t="s">
        <v>9933</v>
      </c>
      <c r="C4173" s="2" t="s">
        <v>33</v>
      </c>
      <c r="D4173" s="2" t="s">
        <v>18</v>
      </c>
      <c r="E4173" s="5">
        <v>-29932</v>
      </c>
      <c r="F4173" s="3" t="s">
        <v>34</v>
      </c>
      <c r="G4173" s="3" t="s">
        <v>35</v>
      </c>
      <c r="H4173" s="2" t="s">
        <v>36</v>
      </c>
      <c r="I4173" s="2" t="s">
        <v>9934</v>
      </c>
      <c r="J4173" s="3" t="str">
        <f>HYPERLINK("https://www.boe.es/gazeta/dias/1818/01/17/pdfs/GMD-1818-8.pdf#page=8","Abrir facsímil")</f>
        <v>Abrir facsímil</v>
      </c>
      <c r="K4173" s="3" t="s">
        <v>38</v>
      </c>
    </row>
    <row r="4174" spans="1:11" ht="42" customHeight="1">
      <c r="A4174" s="2" t="s">
        <v>9932</v>
      </c>
      <c r="B4174" s="2" t="s">
        <v>9933</v>
      </c>
      <c r="C4174" s="2" t="s">
        <v>33</v>
      </c>
      <c r="D4174" s="2" t="s">
        <v>18</v>
      </c>
      <c r="E4174" s="5">
        <v>-29892</v>
      </c>
      <c r="F4174" s="3" t="s">
        <v>39</v>
      </c>
      <c r="G4174" s="3" t="s">
        <v>40</v>
      </c>
      <c r="H4174" s="2" t="s">
        <v>36</v>
      </c>
      <c r="I4174" s="2" t="s">
        <v>9935</v>
      </c>
      <c r="J4174" s="3" t="str">
        <f>HYPERLINK("https://www.boe.es/gazeta/dias/1818/02/26/pdfs/GMD-1818-25.pdf#page=8","Abrir facsímil")</f>
        <v>Abrir facsímil</v>
      </c>
      <c r="K4174" s="3" t="s">
        <v>38</v>
      </c>
    </row>
    <row r="4175" spans="1:11" ht="42" customHeight="1">
      <c r="A4175" s="2" t="s">
        <v>9936</v>
      </c>
      <c r="B4175" s="2" t="s">
        <v>9937</v>
      </c>
      <c r="C4175" s="2" t="s">
        <v>26</v>
      </c>
      <c r="D4175" s="2" t="s">
        <v>27</v>
      </c>
      <c r="E4175" s="5">
        <v>-29596</v>
      </c>
      <c r="F4175" s="3" t="s">
        <v>555</v>
      </c>
      <c r="G4175" s="3" t="s">
        <v>20</v>
      </c>
      <c r="H4175" s="2" t="s">
        <v>36</v>
      </c>
      <c r="I4175" s="2" t="s">
        <v>9938</v>
      </c>
      <c r="J4175" s="3" t="str">
        <f>HYPERLINK("https://www.boe.es/gazeta/dias/1818/12/19/pdfs/GMD-1818-153.pdf#page=7","Abrir facsímil")</f>
        <v>Abrir facsímil</v>
      </c>
      <c r="K4175" s="3" t="s">
        <v>38</v>
      </c>
    </row>
    <row r="4176" spans="1:11" ht="42" customHeight="1">
      <c r="A4176" s="2" t="s">
        <v>9939</v>
      </c>
      <c r="B4176" s="2" t="s">
        <v>9940</v>
      </c>
      <c r="C4176" s="2" t="s">
        <v>26</v>
      </c>
      <c r="D4176" s="2" t="s">
        <v>27</v>
      </c>
      <c r="E4176" s="5">
        <v>-29645</v>
      </c>
      <c r="F4176" s="3" t="s">
        <v>577</v>
      </c>
      <c r="G4176" s="3" t="s">
        <v>29</v>
      </c>
      <c r="H4176" s="2" t="s">
        <v>36</v>
      </c>
      <c r="I4176" s="2" t="s">
        <v>9941</v>
      </c>
      <c r="J4176" s="3" t="str">
        <f>HYPERLINK("https://www.boe.es/gazeta/dias/1818/10/31/pdfs/GMD-1818-132.pdf#page=4","Abrir facsímil")</f>
        <v>Abrir facsímil</v>
      </c>
      <c r="K4176" s="3" t="s">
        <v>38</v>
      </c>
    </row>
    <row r="4177" spans="1:11" ht="42" customHeight="1">
      <c r="A4177" s="2" t="s">
        <v>9942</v>
      </c>
      <c r="B4177" s="2" t="s">
        <v>9943</v>
      </c>
      <c r="C4177" s="2" t="s">
        <v>33</v>
      </c>
      <c r="D4177" s="2" t="s">
        <v>18</v>
      </c>
      <c r="E4177" s="5">
        <v>-29612</v>
      </c>
      <c r="F4177" s="3" t="s">
        <v>1765</v>
      </c>
      <c r="G4177" s="3" t="s">
        <v>45</v>
      </c>
      <c r="H4177" s="2" t="s">
        <v>21</v>
      </c>
      <c r="I4177" s="2" t="s">
        <v>9944</v>
      </c>
      <c r="J4177" s="3" t="str">
        <f>HYPERLINK("https://www.boe.es/gazeta/dias/1818/12/03/pdfs/GMD-1818-146.pdf#page=8","Abrir facsímil")</f>
        <v>Abrir facsímil</v>
      </c>
      <c r="K4177" s="3" t="s">
        <v>23</v>
      </c>
    </row>
    <row r="4178" spans="1:11" ht="42" customHeight="1">
      <c r="A4178" s="2" t="s">
        <v>9945</v>
      </c>
      <c r="B4178" s="2" t="s">
        <v>9945</v>
      </c>
      <c r="C4178" s="2" t="s">
        <v>26</v>
      </c>
      <c r="D4178" s="2" t="s">
        <v>27</v>
      </c>
      <c r="E4178" s="5">
        <v>-29813</v>
      </c>
      <c r="F4178" s="3" t="s">
        <v>839</v>
      </c>
      <c r="G4178" s="3" t="s">
        <v>106</v>
      </c>
      <c r="H4178" s="2" t="s">
        <v>36</v>
      </c>
      <c r="I4178" s="2" t="s">
        <v>9946</v>
      </c>
      <c r="J4178" s="3" t="str">
        <f>HYPERLINK("https://www.boe.es/gazeta/dias/1818/05/16/pdfs/GMD-1818-59.pdf#page=5","Abrir facsímil")</f>
        <v>Abrir facsímil</v>
      </c>
      <c r="K4178" s="3" t="s">
        <v>38</v>
      </c>
    </row>
    <row r="4179" spans="1:11" ht="42" customHeight="1">
      <c r="A4179" s="2" t="s">
        <v>9947</v>
      </c>
      <c r="B4179" s="2" t="s">
        <v>9948</v>
      </c>
      <c r="C4179" s="2" t="s">
        <v>63</v>
      </c>
      <c r="D4179" s="2" t="s">
        <v>18</v>
      </c>
      <c r="E4179" s="5">
        <v>-29619</v>
      </c>
      <c r="F4179" s="3" t="s">
        <v>64</v>
      </c>
      <c r="G4179" s="3" t="s">
        <v>20</v>
      </c>
      <c r="H4179" s="2" t="s">
        <v>36</v>
      </c>
      <c r="I4179" s="2" t="s">
        <v>9949</v>
      </c>
      <c r="J4179" s="3" t="str">
        <f>HYPERLINK("https://www.boe.es/gazeta/dias/1818/11/26/pdfs/GMD-1818-143.pdf#page=7","Abrir facsímil")</f>
        <v>Abrir facsímil</v>
      </c>
      <c r="K4179" s="3" t="s">
        <v>38</v>
      </c>
    </row>
    <row r="4180" spans="1:11" ht="42" customHeight="1">
      <c r="A4180" s="2" t="s">
        <v>9950</v>
      </c>
      <c r="B4180" s="2" t="s">
        <v>9951</v>
      </c>
      <c r="C4180" s="2" t="s">
        <v>26</v>
      </c>
      <c r="D4180" s="2" t="s">
        <v>27</v>
      </c>
      <c r="E4180" s="5">
        <v>-29934</v>
      </c>
      <c r="F4180" s="3" t="s">
        <v>53</v>
      </c>
      <c r="G4180" s="3" t="s">
        <v>59</v>
      </c>
      <c r="H4180" s="2" t="s">
        <v>36</v>
      </c>
      <c r="I4180" s="2" t="s">
        <v>9952</v>
      </c>
      <c r="J4180" s="3" t="str">
        <f>HYPERLINK("https://www.boe.es/gazeta/dias/1818/01/15/pdfs/GMD-1818-7.pdf#page=6","Abrir facsímil")</f>
        <v>Abrir facsímil</v>
      </c>
      <c r="K4180" s="3" t="s">
        <v>38</v>
      </c>
    </row>
    <row r="4181" spans="1:11" ht="42" customHeight="1">
      <c r="A4181" s="2" t="s">
        <v>9953</v>
      </c>
      <c r="B4181" s="2" t="s">
        <v>9954</v>
      </c>
      <c r="C4181" s="2" t="s">
        <v>26</v>
      </c>
      <c r="D4181" s="2" t="s">
        <v>27</v>
      </c>
      <c r="E4181" s="5">
        <v>-29593</v>
      </c>
      <c r="F4181" s="3" t="s">
        <v>185</v>
      </c>
      <c r="G4181" s="3" t="s">
        <v>29</v>
      </c>
      <c r="H4181" s="2" t="s">
        <v>36</v>
      </c>
      <c r="I4181" s="2" t="s">
        <v>9955</v>
      </c>
      <c r="J4181" s="3" t="str">
        <f>HYPERLINK("https://www.boe.es/gazeta/dias/1818/12/22/pdfs/GMD-1818-154.pdf#page=4","Abrir facsímil")</f>
        <v>Abrir facsímil</v>
      </c>
      <c r="K4181" s="3" t="s">
        <v>38</v>
      </c>
    </row>
    <row r="4182" spans="1:11" ht="42" customHeight="1">
      <c r="A4182" s="2" t="s">
        <v>9956</v>
      </c>
      <c r="B4182" s="2" t="s">
        <v>9957</v>
      </c>
      <c r="C4182" s="2" t="s">
        <v>33</v>
      </c>
      <c r="D4182" s="2" t="s">
        <v>18</v>
      </c>
      <c r="E4182" s="5">
        <v>-29932</v>
      </c>
      <c r="F4182" s="3" t="s">
        <v>34</v>
      </c>
      <c r="G4182" s="3" t="s">
        <v>35</v>
      </c>
      <c r="H4182" s="2" t="s">
        <v>36</v>
      </c>
      <c r="I4182" s="2" t="s">
        <v>9958</v>
      </c>
      <c r="J4182" s="3" t="str">
        <f>HYPERLINK("https://www.boe.es/gazeta/dias/1818/01/17/pdfs/GMD-1818-8.pdf#page=8","Abrir facsímil")</f>
        <v>Abrir facsímil</v>
      </c>
      <c r="K4182" s="3" t="s">
        <v>38</v>
      </c>
    </row>
    <row r="4183" spans="1:11" ht="42" customHeight="1">
      <c r="A4183" s="2" t="s">
        <v>9959</v>
      </c>
      <c r="B4183" s="2" t="s">
        <v>9960</v>
      </c>
      <c r="C4183" s="2" t="s">
        <v>33</v>
      </c>
      <c r="D4183" s="2" t="s">
        <v>18</v>
      </c>
      <c r="E4183" s="5">
        <v>-29892</v>
      </c>
      <c r="F4183" s="3" t="s">
        <v>39</v>
      </c>
      <c r="G4183" s="3" t="s">
        <v>40</v>
      </c>
      <c r="H4183" s="2" t="s">
        <v>36</v>
      </c>
      <c r="I4183" s="2" t="s">
        <v>9961</v>
      </c>
      <c r="J4183" s="3" t="str">
        <f>HYPERLINK("https://www.boe.es/gazeta/dias/1818/02/26/pdfs/GMD-1818-25.pdf#page=8","Abrir facsímil")</f>
        <v>Abrir facsímil</v>
      </c>
      <c r="K4183" s="3" t="s">
        <v>38</v>
      </c>
    </row>
    <row r="4184" spans="1:11" ht="42" customHeight="1">
      <c r="A4184" s="2" t="s">
        <v>9962</v>
      </c>
      <c r="B4184" s="2" t="s">
        <v>9963</v>
      </c>
      <c r="C4184" s="2" t="s">
        <v>26</v>
      </c>
      <c r="D4184" s="2" t="s">
        <v>27</v>
      </c>
      <c r="E4184" s="5">
        <v>-29913</v>
      </c>
      <c r="F4184" s="3" t="s">
        <v>449</v>
      </c>
      <c r="G4184" s="3" t="s">
        <v>45</v>
      </c>
      <c r="H4184" s="2" t="s">
        <v>36</v>
      </c>
      <c r="I4184" s="2" t="s">
        <v>9964</v>
      </c>
      <c r="J4184" s="3" t="str">
        <f>HYPERLINK("https://www.boe.es/gazeta/dias/1818/02/05/pdfs/GMD-1818-16.pdf#page=8","Abrir facsímil")</f>
        <v>Abrir facsímil</v>
      </c>
      <c r="K4184" s="3" t="s">
        <v>38</v>
      </c>
    </row>
    <row r="4185" spans="1:11" ht="42" customHeight="1">
      <c r="A4185" s="2" t="s">
        <v>9965</v>
      </c>
      <c r="B4185" s="2" t="s">
        <v>9966</v>
      </c>
      <c r="C4185" s="2" t="s">
        <v>26</v>
      </c>
      <c r="D4185" s="2" t="s">
        <v>27</v>
      </c>
      <c r="E4185" s="5">
        <v>-29934</v>
      </c>
      <c r="F4185" s="3" t="s">
        <v>53</v>
      </c>
      <c r="G4185" s="3" t="s">
        <v>20</v>
      </c>
      <c r="H4185" s="2" t="s">
        <v>21</v>
      </c>
      <c r="I4185" s="2" t="s">
        <v>9967</v>
      </c>
      <c r="J4185" s="3" t="str">
        <f>HYPERLINK("https://www.boe.es/gazeta/dias/1818/01/15/pdfs/GMD-1818-7.pdf#page=7","Abrir facsímil")</f>
        <v>Abrir facsímil</v>
      </c>
      <c r="K4185" s="3" t="s">
        <v>23</v>
      </c>
    </row>
    <row r="4186" spans="1:11" ht="42" customHeight="1">
      <c r="A4186" s="2" t="s">
        <v>9968</v>
      </c>
      <c r="B4186" s="2" t="s">
        <v>9969</v>
      </c>
      <c r="C4186" s="2" t="s">
        <v>68</v>
      </c>
      <c r="D4186" s="2" t="s">
        <v>69</v>
      </c>
      <c r="E4186" s="5">
        <v>-29752</v>
      </c>
      <c r="F4186" s="3" t="s">
        <v>165</v>
      </c>
      <c r="G4186" s="3" t="s">
        <v>59</v>
      </c>
      <c r="H4186" s="2" t="s">
        <v>36</v>
      </c>
      <c r="I4186" s="2" t="s">
        <v>9970</v>
      </c>
      <c r="J4186" s="3" t="str">
        <f>HYPERLINK("https://www.boe.es/gazeta/dias/1818/07/16/pdfs/GMD-1818-85.pdf#page=6","Abrir facsímil")</f>
        <v>Abrir facsímil</v>
      </c>
      <c r="K4186" s="3" t="s">
        <v>38</v>
      </c>
    </row>
    <row r="4187" spans="1:11" ht="42" customHeight="1">
      <c r="A4187" s="2" t="s">
        <v>9971</v>
      </c>
      <c r="B4187" s="2" t="s">
        <v>9972</v>
      </c>
      <c r="C4187" s="2" t="s">
        <v>26</v>
      </c>
      <c r="D4187" s="2" t="s">
        <v>27</v>
      </c>
      <c r="E4187" s="5">
        <v>-29920</v>
      </c>
      <c r="F4187" s="3" t="s">
        <v>201</v>
      </c>
      <c r="G4187" s="3" t="s">
        <v>111</v>
      </c>
      <c r="H4187" s="2" t="s">
        <v>36</v>
      </c>
      <c r="I4187" s="2" t="s">
        <v>9973</v>
      </c>
      <c r="J4187" s="3" t="str">
        <f>HYPERLINK("https://www.boe.es/gazeta/dias/1818/01/29/pdfs/GMD-1818-13.pdf#page=11","Abrir facsímil")</f>
        <v>Abrir facsímil</v>
      </c>
      <c r="K4187" s="3" t="s">
        <v>38</v>
      </c>
    </row>
    <row r="4188" spans="1:11" ht="42" customHeight="1">
      <c r="A4188" s="2" t="s">
        <v>9971</v>
      </c>
      <c r="B4188" s="2" t="s">
        <v>9972</v>
      </c>
      <c r="C4188" s="2" t="s">
        <v>26</v>
      </c>
      <c r="D4188" s="2" t="s">
        <v>27</v>
      </c>
      <c r="E4188" s="5">
        <v>-29740</v>
      </c>
      <c r="F4188" s="3" t="s">
        <v>152</v>
      </c>
      <c r="G4188" s="3" t="s">
        <v>20</v>
      </c>
      <c r="H4188" s="2" t="s">
        <v>36</v>
      </c>
      <c r="I4188" s="2" t="s">
        <v>9974</v>
      </c>
      <c r="J4188" s="3" t="str">
        <f>HYPERLINK("https://www.boe.es/gazeta/dias/1818/07/28/pdfs/GMD-1818-90.pdf#page=7","Abrir facsímil")</f>
        <v>Abrir facsímil</v>
      </c>
      <c r="K4188" s="3" t="s">
        <v>38</v>
      </c>
    </row>
    <row r="4189" spans="1:11" ht="42" customHeight="1">
      <c r="A4189" s="2" t="s">
        <v>9975</v>
      </c>
      <c r="B4189" s="2" t="s">
        <v>9976</v>
      </c>
      <c r="C4189" s="2" t="s">
        <v>63</v>
      </c>
      <c r="D4189" s="2" t="s">
        <v>18</v>
      </c>
      <c r="E4189" s="5">
        <v>-29925</v>
      </c>
      <c r="F4189" s="3" t="s">
        <v>447</v>
      </c>
      <c r="G4189" s="3" t="s">
        <v>45</v>
      </c>
      <c r="H4189" s="2" t="s">
        <v>36</v>
      </c>
      <c r="I4189" s="2" t="s">
        <v>9977</v>
      </c>
      <c r="J4189" s="3" t="str">
        <f>HYPERLINK("https://www.boe.es/gazeta/dias/1818/01/24/pdfs/GMD-1818-11.pdf#page=8","Abrir facsímil")</f>
        <v>Abrir facsímil</v>
      </c>
      <c r="K4189" s="3" t="s">
        <v>38</v>
      </c>
    </row>
    <row r="4190" spans="1:11" ht="42" customHeight="1">
      <c r="A4190" s="2" t="s">
        <v>9978</v>
      </c>
      <c r="B4190" s="2" t="s">
        <v>9979</v>
      </c>
      <c r="C4190" s="2" t="s">
        <v>26</v>
      </c>
      <c r="D4190" s="2" t="s">
        <v>27</v>
      </c>
      <c r="E4190" s="5">
        <v>-29626</v>
      </c>
      <c r="F4190" s="3" t="s">
        <v>496</v>
      </c>
      <c r="G4190" s="3" t="s">
        <v>20</v>
      </c>
      <c r="H4190" s="2" t="s">
        <v>36</v>
      </c>
      <c r="I4190" s="2" t="s">
        <v>9980</v>
      </c>
      <c r="J4190" s="3" t="str">
        <f>HYPERLINK("https://www.boe.es/gazeta/dias/1818/11/19/pdfs/GMD-1818-140.pdf#page=7","Abrir facsímil")</f>
        <v>Abrir facsímil</v>
      </c>
      <c r="K4190" s="3" t="s">
        <v>38</v>
      </c>
    </row>
    <row r="4191" spans="1:11" ht="42" customHeight="1">
      <c r="A4191" s="2" t="s">
        <v>9981</v>
      </c>
      <c r="B4191" s="2" t="s">
        <v>9982</v>
      </c>
      <c r="C4191" s="2" t="s">
        <v>26</v>
      </c>
      <c r="D4191" s="2" t="s">
        <v>27</v>
      </c>
      <c r="E4191" s="5">
        <v>-29677</v>
      </c>
      <c r="F4191" s="3" t="s">
        <v>157</v>
      </c>
      <c r="G4191" s="3" t="s">
        <v>20</v>
      </c>
      <c r="H4191" s="2" t="s">
        <v>36</v>
      </c>
      <c r="I4191" s="2" t="s">
        <v>9983</v>
      </c>
      <c r="J4191" s="3" t="str">
        <f>HYPERLINK("https://www.boe.es/gazeta/dias/1818/09/29/pdfs/GMD-1818-117.pdf#page=7","Abrir facsímil")</f>
        <v>Abrir facsímil</v>
      </c>
      <c r="K4191" s="3" t="s">
        <v>38</v>
      </c>
    </row>
    <row r="4192" spans="1:11" ht="42" customHeight="1">
      <c r="A4192" s="2" t="s">
        <v>9984</v>
      </c>
      <c r="B4192" s="2" t="s">
        <v>9985</v>
      </c>
      <c r="C4192" s="2" t="s">
        <v>17</v>
      </c>
      <c r="D4192" s="2" t="s">
        <v>18</v>
      </c>
      <c r="E4192" s="5">
        <v>-29677</v>
      </c>
      <c r="F4192" s="3" t="s">
        <v>157</v>
      </c>
      <c r="G4192" s="3" t="s">
        <v>59</v>
      </c>
      <c r="H4192" s="2" t="s">
        <v>21</v>
      </c>
      <c r="I4192" s="2" t="s">
        <v>9986</v>
      </c>
      <c r="J4192" s="3" t="str">
        <f>HYPERLINK("https://www.boe.es/gazeta/dias/1818/09/29/pdfs/GMD-1818-117.pdf#page=6","Abrir facsímil")</f>
        <v>Abrir facsímil</v>
      </c>
      <c r="K4192" s="3" t="s">
        <v>23</v>
      </c>
    </row>
    <row r="4193" spans="1:11" ht="42" customHeight="1">
      <c r="A4193" s="2" t="s">
        <v>9987</v>
      </c>
      <c r="B4193" s="2" t="s">
        <v>9988</v>
      </c>
      <c r="C4193" s="2" t="s">
        <v>17</v>
      </c>
      <c r="D4193" s="2" t="s">
        <v>18</v>
      </c>
      <c r="E4193" s="5">
        <v>-29698</v>
      </c>
      <c r="F4193" s="3" t="s">
        <v>148</v>
      </c>
      <c r="G4193" s="3" t="s">
        <v>29</v>
      </c>
      <c r="H4193" s="2" t="s">
        <v>21</v>
      </c>
      <c r="I4193" s="2" t="s">
        <v>9989</v>
      </c>
      <c r="J4193" s="3" t="str">
        <f>HYPERLINK("https://www.boe.es/gazeta/dias/1818/09/08/pdfs/GMD-1818-108.pdf#page=4","Abrir facsímil")</f>
        <v>Abrir facsímil</v>
      </c>
      <c r="K4193" s="3" t="s">
        <v>23</v>
      </c>
    </row>
    <row r="4194" spans="1:11" ht="42" customHeight="1">
      <c r="A4194" s="2" t="s">
        <v>9990</v>
      </c>
      <c r="B4194" s="2" t="s">
        <v>9990</v>
      </c>
      <c r="C4194" s="2" t="s">
        <v>26</v>
      </c>
      <c r="D4194" s="2" t="s">
        <v>27</v>
      </c>
      <c r="E4194" s="5">
        <v>-29841</v>
      </c>
      <c r="F4194" s="3" t="s">
        <v>19</v>
      </c>
      <c r="G4194" s="3" t="s">
        <v>59</v>
      </c>
      <c r="H4194" s="2" t="s">
        <v>36</v>
      </c>
      <c r="I4194" s="2" t="s">
        <v>9991</v>
      </c>
      <c r="J4194" s="3" t="str">
        <f>HYPERLINK("https://www.boe.es/gazeta/dias/1818/04/18/pdfs/GMD-1818-47.pdf#page=6","Abrir facsímil")</f>
        <v>Abrir facsímil</v>
      </c>
      <c r="K4194" s="3" t="s">
        <v>38</v>
      </c>
    </row>
    <row r="4195" spans="1:11" ht="42" customHeight="1">
      <c r="A4195" s="2" t="s">
        <v>9992</v>
      </c>
      <c r="B4195" s="2" t="s">
        <v>9993</v>
      </c>
      <c r="C4195" s="2" t="s">
        <v>26</v>
      </c>
      <c r="D4195" s="2" t="s">
        <v>27</v>
      </c>
      <c r="E4195" s="5">
        <v>-29708</v>
      </c>
      <c r="F4195" s="3" t="s">
        <v>413</v>
      </c>
      <c r="G4195" s="3" t="s">
        <v>29</v>
      </c>
      <c r="H4195" s="2" t="s">
        <v>36</v>
      </c>
      <c r="I4195" s="2" t="s">
        <v>9994</v>
      </c>
      <c r="J4195" s="3" t="str">
        <f>HYPERLINK("https://www.boe.es/gazeta/dias/1818/08/29/pdfs/GMD-1818-104.pdf#page=4","Abrir facsímil")</f>
        <v>Abrir facsímil</v>
      </c>
      <c r="K4195" s="3" t="s">
        <v>38</v>
      </c>
    </row>
    <row r="4196" spans="1:11" ht="42" customHeight="1">
      <c r="A4196" s="2" t="s">
        <v>9995</v>
      </c>
      <c r="B4196" s="2" t="s">
        <v>9996</v>
      </c>
      <c r="C4196" s="2" t="s">
        <v>17</v>
      </c>
      <c r="D4196" s="2" t="s">
        <v>18</v>
      </c>
      <c r="E4196" s="5">
        <v>-29824</v>
      </c>
      <c r="F4196" s="3" t="s">
        <v>101</v>
      </c>
      <c r="G4196" s="3" t="s">
        <v>59</v>
      </c>
      <c r="H4196" s="2" t="s">
        <v>36</v>
      </c>
      <c r="I4196" s="2" t="s">
        <v>9997</v>
      </c>
      <c r="J4196" s="3" t="str">
        <f>HYPERLINK("https://www.boe.es/gazeta/dias/1818/05/05/pdfs/GMD-1818-54.pdf#page=6","Abrir facsímil")</f>
        <v>Abrir facsímil</v>
      </c>
      <c r="K4196" s="3" t="s">
        <v>38</v>
      </c>
    </row>
    <row r="4197" spans="1:11" ht="42" customHeight="1">
      <c r="A4197" s="2" t="s">
        <v>9998</v>
      </c>
      <c r="B4197" s="2" t="s">
        <v>9999</v>
      </c>
      <c r="C4197" s="2" t="s">
        <v>57</v>
      </c>
      <c r="D4197" s="2" t="s">
        <v>18</v>
      </c>
      <c r="E4197" s="5">
        <v>-29801</v>
      </c>
      <c r="F4197" s="3" t="s">
        <v>288</v>
      </c>
      <c r="G4197" s="3" t="s">
        <v>49</v>
      </c>
      <c r="H4197" s="2" t="s">
        <v>36</v>
      </c>
      <c r="I4197" s="2" t="s">
        <v>10000</v>
      </c>
      <c r="J4197" s="3" t="str">
        <f>HYPERLINK("https://www.boe.es/gazeta/dias/1818/05/28/pdfs/GMD-1818-64.pdf#page=1","Abrir facsímil")</f>
        <v>Abrir facsímil</v>
      </c>
      <c r="K4197" s="3" t="s">
        <v>38</v>
      </c>
    </row>
    <row r="4198" spans="1:11" ht="42" customHeight="1">
      <c r="A4198" s="2" t="s">
        <v>10001</v>
      </c>
      <c r="B4198" s="2" t="s">
        <v>10002</v>
      </c>
      <c r="C4198" s="2" t="s">
        <v>57</v>
      </c>
      <c r="D4198" s="2" t="s">
        <v>18</v>
      </c>
      <c r="E4198" s="5">
        <v>-29724</v>
      </c>
      <c r="F4198" s="3" t="s">
        <v>370</v>
      </c>
      <c r="G4198" s="3" t="s">
        <v>106</v>
      </c>
      <c r="H4198" s="2" t="s">
        <v>36</v>
      </c>
      <c r="I4198" s="2" t="s">
        <v>10003</v>
      </c>
      <c r="J4198" s="3" t="str">
        <f>HYPERLINK("https://www.boe.es/gazeta/dias/1818/08/13/pdfs/GMD-1818-97.pdf#page=5","Abrir facsímil")</f>
        <v>Abrir facsímil</v>
      </c>
      <c r="K4198" s="3" t="s">
        <v>38</v>
      </c>
    </row>
    <row r="4199" spans="1:11" ht="42" customHeight="1">
      <c r="A4199" s="2" t="s">
        <v>10004</v>
      </c>
      <c r="B4199" s="2" t="s">
        <v>10005</v>
      </c>
      <c r="C4199" s="2" t="s">
        <v>33</v>
      </c>
      <c r="D4199" s="2" t="s">
        <v>18</v>
      </c>
      <c r="E4199" s="5">
        <v>-29668</v>
      </c>
      <c r="F4199" s="3" t="s">
        <v>2219</v>
      </c>
      <c r="G4199" s="3" t="s">
        <v>20</v>
      </c>
      <c r="H4199" s="2" t="s">
        <v>36</v>
      </c>
      <c r="I4199" s="2" t="s">
        <v>10006</v>
      </c>
      <c r="J4199" s="3" t="str">
        <f>HYPERLINK("https://www.boe.es/gazeta/dias/1818/10/08/pdfs/GMD-1818-121.pdf#page=7","Abrir facsímil")</f>
        <v>Abrir facsímil</v>
      </c>
      <c r="K4199" s="3" t="s">
        <v>38</v>
      </c>
    </row>
    <row r="4200" spans="1:11" ht="42" customHeight="1">
      <c r="A4200" s="2" t="s">
        <v>10007</v>
      </c>
      <c r="B4200" s="2" t="s">
        <v>10008</v>
      </c>
      <c r="C4200" s="2" t="s">
        <v>57</v>
      </c>
      <c r="D4200" s="2" t="s">
        <v>18</v>
      </c>
      <c r="E4200" s="5">
        <v>-29810</v>
      </c>
      <c r="F4200" s="3" t="s">
        <v>222</v>
      </c>
      <c r="G4200" s="3" t="s">
        <v>59</v>
      </c>
      <c r="H4200" s="2" t="s">
        <v>36</v>
      </c>
      <c r="I4200" s="2" t="s">
        <v>10009</v>
      </c>
      <c r="J4200" s="3" t="str">
        <f>HYPERLINK("https://www.boe.es/gazeta/dias/1818/05/19/pdfs/GMD-1818-60.pdf#page=6","Abrir facsímil")</f>
        <v>Abrir facsímil</v>
      </c>
      <c r="K4200" s="3" t="s">
        <v>38</v>
      </c>
    </row>
    <row r="4201" spans="1:11" ht="42" customHeight="1">
      <c r="A4201" s="2" t="s">
        <v>10007</v>
      </c>
      <c r="B4201" s="2" t="s">
        <v>10008</v>
      </c>
      <c r="C4201" s="2" t="s">
        <v>57</v>
      </c>
      <c r="D4201" s="2" t="s">
        <v>18</v>
      </c>
      <c r="E4201" s="5">
        <v>-29663</v>
      </c>
      <c r="F4201" s="3" t="s">
        <v>1011</v>
      </c>
      <c r="G4201" s="3" t="s">
        <v>45</v>
      </c>
      <c r="H4201" s="2" t="s">
        <v>36</v>
      </c>
      <c r="I4201" s="2" t="s">
        <v>10010</v>
      </c>
      <c r="J4201" s="3" t="str">
        <f>HYPERLINK("https://www.boe.es/gazeta/dias/1818/10/13/pdfs/GMD-1818-123.pdf#page=8","Abrir facsímil")</f>
        <v>Abrir facsímil</v>
      </c>
      <c r="K4201" s="3" t="s">
        <v>38</v>
      </c>
    </row>
    <row r="4202" spans="1:11" ht="42" customHeight="1">
      <c r="A4202" s="2" t="s">
        <v>10007</v>
      </c>
      <c r="B4202" s="2" t="s">
        <v>10008</v>
      </c>
      <c r="C4202" s="2" t="s">
        <v>57</v>
      </c>
      <c r="D4202" s="2" t="s">
        <v>18</v>
      </c>
      <c r="E4202" s="5">
        <v>-29631</v>
      </c>
      <c r="F4202" s="3" t="s">
        <v>743</v>
      </c>
      <c r="G4202" s="3" t="s">
        <v>3691</v>
      </c>
      <c r="H4202" s="2" t="s">
        <v>36</v>
      </c>
      <c r="I4202" s="2" t="s">
        <v>10011</v>
      </c>
      <c r="J4202" s="3" t="str">
        <f>HYPERLINK("https://www.boe.es/gazeta/dias/1818/11/14/pdfs/GMD-1818-138.pdf#page=8","Abrir facsímil")</f>
        <v>Abrir facsímil</v>
      </c>
      <c r="K4202" s="3" t="s">
        <v>38</v>
      </c>
    </row>
    <row r="4203" spans="1:11" ht="42" customHeight="1">
      <c r="A4203" s="2" t="s">
        <v>10012</v>
      </c>
      <c r="B4203" s="2" t="s">
        <v>10013</v>
      </c>
      <c r="C4203" s="2" t="s">
        <v>26</v>
      </c>
      <c r="D4203" s="2" t="s">
        <v>27</v>
      </c>
      <c r="E4203" s="5">
        <v>-29740</v>
      </c>
      <c r="F4203" s="3" t="s">
        <v>152</v>
      </c>
      <c r="G4203" s="3" t="s">
        <v>153</v>
      </c>
      <c r="H4203" s="2" t="s">
        <v>36</v>
      </c>
      <c r="I4203" s="2" t="s">
        <v>10014</v>
      </c>
      <c r="J4203" s="3" t="str">
        <f>HYPERLINK("https://www.boe.es/gazeta/dias/1818/07/28/pdfs/GMD-1818-90.pdf#page=6","Abrir facsímil")</f>
        <v>Abrir facsímil</v>
      </c>
      <c r="K4203" s="3" t="s">
        <v>38</v>
      </c>
    </row>
    <row r="4204" spans="1:11" ht="42" customHeight="1">
      <c r="A4204" s="2" t="s">
        <v>10015</v>
      </c>
      <c r="B4204" s="2" t="s">
        <v>10016</v>
      </c>
      <c r="C4204" s="2" t="s">
        <v>68</v>
      </c>
      <c r="D4204" s="2" t="s">
        <v>69</v>
      </c>
      <c r="E4204" s="5">
        <v>-29675</v>
      </c>
      <c r="F4204" s="3" t="s">
        <v>2314</v>
      </c>
      <c r="G4204" s="3" t="s">
        <v>45</v>
      </c>
      <c r="H4204" s="2" t="s">
        <v>36</v>
      </c>
      <c r="I4204" s="2" t="s">
        <v>10017</v>
      </c>
      <c r="J4204" s="3" t="str">
        <f>HYPERLINK("https://www.boe.es/gazeta/dias/1818/10/01/pdfs/GMD-1818-118.pdf#page=8","Abrir facsímil")</f>
        <v>Abrir facsímil</v>
      </c>
      <c r="K4204" s="3" t="s">
        <v>38</v>
      </c>
    </row>
    <row r="4205" spans="1:11" ht="42" customHeight="1">
      <c r="A4205" s="2" t="s">
        <v>10018</v>
      </c>
      <c r="B4205" s="2" t="s">
        <v>10019</v>
      </c>
      <c r="C4205" s="2" t="s">
        <v>68</v>
      </c>
      <c r="D4205" s="2" t="s">
        <v>69</v>
      </c>
      <c r="E4205" s="5">
        <v>-29869</v>
      </c>
      <c r="F4205" s="3" t="s">
        <v>140</v>
      </c>
      <c r="G4205" s="3" t="s">
        <v>45</v>
      </c>
      <c r="H4205" s="2" t="s">
        <v>36</v>
      </c>
      <c r="I4205" s="2" t="s">
        <v>10020</v>
      </c>
      <c r="J4205" s="3" t="str">
        <f>HYPERLINK("https://www.boe.es/gazeta/dias/1818/03/21/pdfs/GMD-1818-35.pdf#page=8","Abrir facsímil")</f>
        <v>Abrir facsímil</v>
      </c>
      <c r="K4205" s="3" t="s">
        <v>38</v>
      </c>
    </row>
    <row r="4206" spans="1:11" ht="42" customHeight="1">
      <c r="A4206" s="2" t="s">
        <v>10021</v>
      </c>
      <c r="B4206" s="2" t="s">
        <v>10021</v>
      </c>
      <c r="C4206" s="2" t="s">
        <v>26</v>
      </c>
      <c r="D4206" s="2" t="s">
        <v>27</v>
      </c>
      <c r="E4206" s="5">
        <v>-29764</v>
      </c>
      <c r="F4206" s="3" t="s">
        <v>464</v>
      </c>
      <c r="G4206" s="3" t="s">
        <v>59</v>
      </c>
      <c r="H4206" s="2" t="s">
        <v>36</v>
      </c>
      <c r="I4206" s="2" t="s">
        <v>10022</v>
      </c>
      <c r="J4206" s="3" t="str">
        <f>HYPERLINK("https://www.boe.es/gazeta/dias/1818/07/04/pdfs/GMD-1818-80.pdf#page=6","Abrir facsímil")</f>
        <v>Abrir facsímil</v>
      </c>
      <c r="K4206" s="3" t="s">
        <v>38</v>
      </c>
    </row>
    <row r="4207" spans="1:11" ht="42" customHeight="1">
      <c r="A4207" s="2" t="s">
        <v>10023</v>
      </c>
      <c r="B4207" s="2" t="s">
        <v>10024</v>
      </c>
      <c r="C4207" s="2" t="s">
        <v>68</v>
      </c>
      <c r="D4207" s="2" t="s">
        <v>69</v>
      </c>
      <c r="E4207" s="5">
        <v>-29834</v>
      </c>
      <c r="F4207" s="3" t="s">
        <v>457</v>
      </c>
      <c r="G4207" s="3" t="s">
        <v>458</v>
      </c>
      <c r="H4207" s="2" t="s">
        <v>36</v>
      </c>
      <c r="I4207" s="2" t="s">
        <v>10025</v>
      </c>
      <c r="J4207" s="3" t="str">
        <f>HYPERLINK("https://www.boe.es/gazeta/dias/1818/04/25/pdfs/GMD-1818-50.pdf#page=8","Abrir facsímil")</f>
        <v>Abrir facsímil</v>
      </c>
      <c r="K4207" s="3" t="s">
        <v>38</v>
      </c>
    </row>
    <row r="4208" spans="1:11" ht="42" customHeight="1">
      <c r="A4208" s="2" t="s">
        <v>10026</v>
      </c>
      <c r="B4208" s="2" t="s">
        <v>10027</v>
      </c>
      <c r="C4208" s="2" t="s">
        <v>63</v>
      </c>
      <c r="D4208" s="2" t="s">
        <v>18</v>
      </c>
      <c r="E4208" s="5">
        <v>-29673</v>
      </c>
      <c r="F4208" s="3" t="s">
        <v>1099</v>
      </c>
      <c r="G4208" s="3" t="s">
        <v>45</v>
      </c>
      <c r="H4208" s="2" t="s">
        <v>36</v>
      </c>
      <c r="I4208" s="2" t="s">
        <v>10028</v>
      </c>
      <c r="J4208" s="3" t="str">
        <f>HYPERLINK("https://www.boe.es/gazeta/dias/1818/10/03/pdfs/GMD-1818-119.pdf#page=8","Abrir facsímil")</f>
        <v>Abrir facsímil</v>
      </c>
      <c r="K4208" s="3" t="s">
        <v>38</v>
      </c>
    </row>
    <row r="4209" spans="1:11" ht="42" customHeight="1">
      <c r="A4209" s="2" t="s">
        <v>10029</v>
      </c>
      <c r="B4209" s="2" t="s">
        <v>10030</v>
      </c>
      <c r="C4209" s="2" t="s">
        <v>33</v>
      </c>
      <c r="D4209" s="2" t="s">
        <v>18</v>
      </c>
      <c r="E4209" s="5">
        <v>-29619</v>
      </c>
      <c r="F4209" s="3" t="s">
        <v>64</v>
      </c>
      <c r="G4209" s="3" t="s">
        <v>45</v>
      </c>
      <c r="H4209" s="2" t="s">
        <v>36</v>
      </c>
      <c r="I4209" s="2" t="s">
        <v>10031</v>
      </c>
      <c r="J4209" s="3" t="str">
        <f>HYPERLINK("https://www.boe.es/gazeta/dias/1818/11/26/pdfs/GMD-1818-143.pdf#page=8","Abrir facsímil")</f>
        <v>Abrir facsímil</v>
      </c>
      <c r="K4209" s="3" t="s">
        <v>38</v>
      </c>
    </row>
    <row r="4210" spans="1:11" ht="42" customHeight="1">
      <c r="A4210" s="2" t="s">
        <v>10032</v>
      </c>
      <c r="B4210" s="2" t="s">
        <v>10033</v>
      </c>
      <c r="C4210" s="2" t="s">
        <v>68</v>
      </c>
      <c r="D4210" s="2" t="s">
        <v>69</v>
      </c>
      <c r="E4210" s="5">
        <v>-29673</v>
      </c>
      <c r="F4210" s="3" t="s">
        <v>1099</v>
      </c>
      <c r="G4210" s="3" t="s">
        <v>45</v>
      </c>
      <c r="H4210" s="2" t="s">
        <v>36</v>
      </c>
      <c r="I4210" s="2" t="s">
        <v>10034</v>
      </c>
      <c r="J4210" s="3" t="str">
        <f>HYPERLINK("https://www.boe.es/gazeta/dias/1818/10/03/pdfs/GMD-1818-119.pdf#page=8","Abrir facsímil")</f>
        <v>Abrir facsímil</v>
      </c>
      <c r="K4210" s="3" t="s">
        <v>38</v>
      </c>
    </row>
    <row r="4211" spans="1:11" ht="42" customHeight="1">
      <c r="A4211" s="2" t="s">
        <v>10035</v>
      </c>
      <c r="B4211" s="2" t="s">
        <v>10036</v>
      </c>
      <c r="C4211" s="2" t="s">
        <v>26</v>
      </c>
      <c r="D4211" s="2" t="s">
        <v>27</v>
      </c>
      <c r="E4211" s="5">
        <v>-29897</v>
      </c>
      <c r="F4211" s="3" t="s">
        <v>318</v>
      </c>
      <c r="G4211" s="3" t="s">
        <v>106</v>
      </c>
      <c r="H4211" s="2" t="s">
        <v>36</v>
      </c>
      <c r="I4211" s="2" t="s">
        <v>10037</v>
      </c>
      <c r="J4211" s="3" t="str">
        <f>HYPERLINK("https://www.boe.es/gazeta/dias/1818/02/21/pdfs/GMD-1818-23.pdf#page=5","Abrir facsímil")</f>
        <v>Abrir facsímil</v>
      </c>
      <c r="K4211" s="3" t="s">
        <v>38</v>
      </c>
    </row>
    <row r="4212" spans="1:11" ht="42" customHeight="1">
      <c r="A4212" s="2" t="s">
        <v>10038</v>
      </c>
      <c r="B4212" s="2" t="s">
        <v>10039</v>
      </c>
      <c r="C4212" s="2" t="s">
        <v>26</v>
      </c>
      <c r="D4212" s="2" t="s">
        <v>27</v>
      </c>
      <c r="E4212" s="5">
        <v>-29614</v>
      </c>
      <c r="F4212" s="3" t="s">
        <v>620</v>
      </c>
      <c r="G4212" s="3" t="s">
        <v>963</v>
      </c>
      <c r="H4212" s="2" t="s">
        <v>36</v>
      </c>
      <c r="I4212" s="2" t="s">
        <v>10040</v>
      </c>
      <c r="J4212" s="3" t="str">
        <f>HYPERLINK("https://www.boe.es/gazeta/dias/1818/12/01/pdfs/GMD-1818-145.pdf#page=4","Abrir facsímil")</f>
        <v>Abrir facsímil</v>
      </c>
      <c r="K4212" s="3" t="s">
        <v>38</v>
      </c>
    </row>
    <row r="4213" spans="1:11" ht="42" customHeight="1">
      <c r="A4213" s="2" t="s">
        <v>10041</v>
      </c>
      <c r="B4213" s="2" t="s">
        <v>10042</v>
      </c>
      <c r="C4213" s="2" t="s">
        <v>26</v>
      </c>
      <c r="D4213" s="2" t="s">
        <v>27</v>
      </c>
      <c r="E4213" s="5">
        <v>-29607</v>
      </c>
      <c r="F4213" s="3" t="s">
        <v>704</v>
      </c>
      <c r="G4213" s="3" t="s">
        <v>106</v>
      </c>
      <c r="H4213" s="2" t="s">
        <v>36</v>
      </c>
      <c r="I4213" s="2" t="s">
        <v>10043</v>
      </c>
      <c r="J4213" s="3" t="str">
        <f>HYPERLINK("https://www.boe.es/gazeta/dias/1818/12/08/pdfs/GMD-1818-148.pdf#page=5","Abrir facsímil")</f>
        <v>Abrir facsímil</v>
      </c>
      <c r="K4213" s="3" t="s">
        <v>38</v>
      </c>
    </row>
    <row r="4214" spans="1:11" ht="42" customHeight="1">
      <c r="A4214" s="2" t="s">
        <v>10041</v>
      </c>
      <c r="B4214" s="2" t="s">
        <v>10042</v>
      </c>
      <c r="C4214" s="2" t="s">
        <v>26</v>
      </c>
      <c r="D4214" s="2" t="s">
        <v>27</v>
      </c>
      <c r="E4214" s="5">
        <v>-29593</v>
      </c>
      <c r="F4214" s="3" t="s">
        <v>185</v>
      </c>
      <c r="G4214" s="3" t="s">
        <v>186</v>
      </c>
      <c r="H4214" s="2" t="s">
        <v>36</v>
      </c>
      <c r="I4214" s="2" t="s">
        <v>10044</v>
      </c>
      <c r="J4214" s="3" t="str">
        <f>HYPERLINK("https://www.boe.es/gazeta/dias/1818/12/22/pdfs/GMD-1818-154.pdf#page=5","Abrir facsímil")</f>
        <v>Abrir facsímil</v>
      </c>
      <c r="K4214" s="3" t="s">
        <v>38</v>
      </c>
    </row>
    <row r="4215" spans="1:11" ht="42" customHeight="1">
      <c r="A4215" s="2" t="s">
        <v>10045</v>
      </c>
      <c r="B4215" s="2" t="s">
        <v>10046</v>
      </c>
      <c r="C4215" s="2" t="s">
        <v>26</v>
      </c>
      <c r="D4215" s="2" t="s">
        <v>27</v>
      </c>
      <c r="E4215" s="5">
        <v>-29904</v>
      </c>
      <c r="F4215" s="3" t="s">
        <v>451</v>
      </c>
      <c r="G4215" s="3" t="s">
        <v>20</v>
      </c>
      <c r="H4215" s="2" t="s">
        <v>36</v>
      </c>
      <c r="I4215" s="2" t="s">
        <v>10047</v>
      </c>
      <c r="J4215" s="3" t="str">
        <f>HYPERLINK("https://www.boe.es/gazeta/dias/1818/02/14/pdfs/GMD-1818-20.pdf#page=7","Abrir facsímil")</f>
        <v>Abrir facsímil</v>
      </c>
      <c r="K4215" s="3" t="s">
        <v>38</v>
      </c>
    </row>
    <row r="4216" spans="1:11" ht="42" customHeight="1">
      <c r="A4216" s="2" t="s">
        <v>10048</v>
      </c>
      <c r="B4216" s="2" t="s">
        <v>10048</v>
      </c>
      <c r="C4216" s="2" t="s">
        <v>68</v>
      </c>
      <c r="D4216" s="2" t="s">
        <v>69</v>
      </c>
      <c r="E4216" s="5">
        <v>-29799</v>
      </c>
      <c r="F4216" s="3" t="s">
        <v>135</v>
      </c>
      <c r="G4216" s="3" t="s">
        <v>45</v>
      </c>
      <c r="H4216" s="2" t="s">
        <v>36</v>
      </c>
      <c r="I4216" s="2" t="s">
        <v>10049</v>
      </c>
      <c r="J4216" s="3" t="str">
        <f>HYPERLINK("https://www.boe.es/gazeta/dias/1818/05/30/pdfs/GMD-1818-65.pdf#page=8","Abrir facsímil")</f>
        <v>Abrir facsímil</v>
      </c>
      <c r="K4216" s="3" t="s">
        <v>38</v>
      </c>
    </row>
    <row r="4217" spans="1:11" ht="42" customHeight="1">
      <c r="A4217" s="2" t="s">
        <v>10050</v>
      </c>
      <c r="B4217" s="2" t="s">
        <v>10051</v>
      </c>
      <c r="C4217" s="2" t="s">
        <v>17</v>
      </c>
      <c r="D4217" s="2" t="s">
        <v>18</v>
      </c>
      <c r="E4217" s="5">
        <v>-29729</v>
      </c>
      <c r="F4217" s="3" t="s">
        <v>488</v>
      </c>
      <c r="G4217" s="3" t="s">
        <v>489</v>
      </c>
      <c r="H4217" s="2" t="s">
        <v>36</v>
      </c>
      <c r="I4217" s="2" t="s">
        <v>10052</v>
      </c>
      <c r="J4217" s="3" t="str">
        <f>HYPERLINK("https://www.boe.es/gazeta/dias/1818/08/08/pdfs/GMD-1818-95.pdf#page=8","Abrir facsímil")</f>
        <v>Abrir facsímil</v>
      </c>
      <c r="K4217" s="3" t="s">
        <v>38</v>
      </c>
    </row>
    <row r="4218" spans="1:11" ht="42" customHeight="1">
      <c r="A4218" s="2" t="s">
        <v>10053</v>
      </c>
      <c r="B4218" s="2" t="s">
        <v>10054</v>
      </c>
      <c r="C4218" s="2" t="s">
        <v>17</v>
      </c>
      <c r="D4218" s="2" t="s">
        <v>18</v>
      </c>
      <c r="E4218" s="5">
        <v>-29845</v>
      </c>
      <c r="F4218" s="3" t="s">
        <v>105</v>
      </c>
      <c r="G4218" s="3" t="s">
        <v>833</v>
      </c>
      <c r="H4218" s="2" t="s">
        <v>36</v>
      </c>
      <c r="I4218" s="2" t="s">
        <v>10055</v>
      </c>
      <c r="J4218" s="3" t="str">
        <f>HYPERLINK("https://www.boe.es/gazeta/dias/1818/04/14/pdfs/GMD-1818-45.pdf#page=4","Abrir facsímil")</f>
        <v>Abrir facsímil</v>
      </c>
      <c r="K4218" s="3" t="s">
        <v>38</v>
      </c>
    </row>
    <row r="4219" spans="1:11" ht="42" customHeight="1">
      <c r="A4219" s="2" t="s">
        <v>10056</v>
      </c>
      <c r="B4219" s="2" t="s">
        <v>10057</v>
      </c>
      <c r="C4219" s="2" t="s">
        <v>26</v>
      </c>
      <c r="D4219" s="2" t="s">
        <v>27</v>
      </c>
      <c r="E4219" s="5">
        <v>-29869</v>
      </c>
      <c r="F4219" s="3" t="s">
        <v>140</v>
      </c>
      <c r="G4219" s="3" t="s">
        <v>45</v>
      </c>
      <c r="H4219" s="2" t="s">
        <v>36</v>
      </c>
      <c r="I4219" s="2" t="s">
        <v>10058</v>
      </c>
      <c r="J4219" s="3" t="str">
        <f>HYPERLINK("https://www.boe.es/gazeta/dias/1818/03/21/pdfs/GMD-1818-35.pdf#page=8","Abrir facsímil")</f>
        <v>Abrir facsímil</v>
      </c>
      <c r="K4219" s="3" t="s">
        <v>38</v>
      </c>
    </row>
    <row r="4220" spans="1:11" ht="42" customHeight="1">
      <c r="A4220" s="2" t="s">
        <v>10059</v>
      </c>
      <c r="B4220" s="2" t="s">
        <v>10060</v>
      </c>
      <c r="C4220" s="2" t="s">
        <v>17</v>
      </c>
      <c r="D4220" s="2" t="s">
        <v>18</v>
      </c>
      <c r="E4220" s="5">
        <v>-29799</v>
      </c>
      <c r="F4220" s="3" t="s">
        <v>135</v>
      </c>
      <c r="G4220" s="3" t="s">
        <v>45</v>
      </c>
      <c r="H4220" s="2" t="s">
        <v>36</v>
      </c>
      <c r="I4220" s="2" t="s">
        <v>10061</v>
      </c>
      <c r="J4220" s="3" t="str">
        <f>HYPERLINK("https://www.boe.es/gazeta/dias/1818/05/30/pdfs/GMD-1818-65.pdf#page=8","Abrir facsímil")</f>
        <v>Abrir facsímil</v>
      </c>
      <c r="K4220" s="3" t="s">
        <v>38</v>
      </c>
    </row>
    <row r="4221" spans="1:11" ht="42" customHeight="1">
      <c r="A4221" s="2" t="s">
        <v>10062</v>
      </c>
      <c r="B4221" s="2" t="s">
        <v>10063</v>
      </c>
      <c r="C4221" s="2" t="s">
        <v>17</v>
      </c>
      <c r="D4221" s="2" t="s">
        <v>18</v>
      </c>
      <c r="E4221" s="5">
        <v>-29677</v>
      </c>
      <c r="F4221" s="3" t="s">
        <v>157</v>
      </c>
      <c r="G4221" s="3" t="s">
        <v>106</v>
      </c>
      <c r="H4221" s="2" t="s">
        <v>36</v>
      </c>
      <c r="I4221" s="2" t="s">
        <v>10064</v>
      </c>
      <c r="J4221" s="3" t="str">
        <f>HYPERLINK("https://www.boe.es/gazeta/dias/1818/09/29/pdfs/GMD-1818-117.pdf#page=5","Abrir facsímil")</f>
        <v>Abrir facsímil</v>
      </c>
      <c r="K4221" s="3" t="s">
        <v>38</v>
      </c>
    </row>
    <row r="4222" spans="1:11" ht="42" customHeight="1">
      <c r="A4222" s="2" t="s">
        <v>10062</v>
      </c>
      <c r="B4222" s="2" t="s">
        <v>10063</v>
      </c>
      <c r="C4222" s="2" t="s">
        <v>17</v>
      </c>
      <c r="D4222" s="2" t="s">
        <v>18</v>
      </c>
      <c r="E4222" s="5">
        <v>-29677</v>
      </c>
      <c r="F4222" s="3" t="s">
        <v>157</v>
      </c>
      <c r="G4222" s="3" t="s">
        <v>20</v>
      </c>
      <c r="H4222" s="2" t="s">
        <v>36</v>
      </c>
      <c r="I4222" s="2" t="s">
        <v>10065</v>
      </c>
      <c r="J4222" s="3" t="str">
        <f>HYPERLINK("https://www.boe.es/gazeta/dias/1818/09/29/pdfs/GMD-1818-117.pdf#page=7","Abrir facsímil")</f>
        <v>Abrir facsímil</v>
      </c>
      <c r="K4222" s="3" t="s">
        <v>38</v>
      </c>
    </row>
    <row r="4223" spans="1:11" ht="42" customHeight="1">
      <c r="A4223" s="2" t="s">
        <v>10066</v>
      </c>
      <c r="B4223" s="2" t="s">
        <v>10067</v>
      </c>
      <c r="C4223" s="2" t="s">
        <v>26</v>
      </c>
      <c r="D4223" s="2" t="s">
        <v>27</v>
      </c>
      <c r="E4223" s="5">
        <v>-29897</v>
      </c>
      <c r="F4223" s="3" t="s">
        <v>318</v>
      </c>
      <c r="G4223" s="3" t="s">
        <v>29</v>
      </c>
      <c r="H4223" s="2" t="s">
        <v>36</v>
      </c>
      <c r="I4223" s="2" t="s">
        <v>10068</v>
      </c>
      <c r="J4223" s="3" t="str">
        <f>HYPERLINK("https://www.boe.es/gazeta/dias/1818/02/21/pdfs/GMD-1818-23.pdf#page=4","Abrir facsímil")</f>
        <v>Abrir facsímil</v>
      </c>
      <c r="K4223" s="3" t="s">
        <v>38</v>
      </c>
    </row>
    <row r="4224" spans="1:11" ht="42" customHeight="1">
      <c r="A4224" s="2" t="s">
        <v>10069</v>
      </c>
      <c r="B4224" s="2" t="s">
        <v>10070</v>
      </c>
      <c r="C4224" s="2" t="s">
        <v>57</v>
      </c>
      <c r="D4224" s="2" t="s">
        <v>18</v>
      </c>
      <c r="E4224" s="5">
        <v>-29619</v>
      </c>
      <c r="F4224" s="3" t="s">
        <v>64</v>
      </c>
      <c r="G4224" s="3" t="s">
        <v>20</v>
      </c>
      <c r="H4224" s="2" t="s">
        <v>36</v>
      </c>
      <c r="I4224" s="2" t="s">
        <v>10071</v>
      </c>
      <c r="J4224" s="3" t="str">
        <f>HYPERLINK("https://www.boe.es/gazeta/dias/1818/11/26/pdfs/GMD-1818-143.pdf#page=7","Abrir facsímil")</f>
        <v>Abrir facsímil</v>
      </c>
      <c r="K4224" s="3" t="s">
        <v>38</v>
      </c>
    </row>
    <row r="4225" spans="1:11" ht="42" customHeight="1">
      <c r="A4225" s="2" t="s">
        <v>10072</v>
      </c>
      <c r="B4225" s="2" t="s">
        <v>10073</v>
      </c>
      <c r="C4225" s="2" t="s">
        <v>68</v>
      </c>
      <c r="D4225" s="2" t="s">
        <v>69</v>
      </c>
      <c r="E4225" s="5">
        <v>-29843</v>
      </c>
      <c r="F4225" s="3" t="s">
        <v>182</v>
      </c>
      <c r="G4225" s="3" t="s">
        <v>45</v>
      </c>
      <c r="H4225" s="2" t="s">
        <v>36</v>
      </c>
      <c r="I4225" s="2" t="s">
        <v>10074</v>
      </c>
      <c r="J4225" s="3" t="str">
        <f>HYPERLINK("https://www.boe.es/gazeta/dias/1818/04/16/pdfs/GMD-1818-46.pdf#page=8","Abrir facsímil")</f>
        <v>Abrir facsímil</v>
      </c>
      <c r="K4225" s="3" t="s">
        <v>38</v>
      </c>
    </row>
    <row r="4226" spans="1:11" ht="42" customHeight="1">
      <c r="A4226" s="2" t="s">
        <v>10075</v>
      </c>
      <c r="B4226" s="2" t="s">
        <v>10076</v>
      </c>
      <c r="C4226" s="2" t="s">
        <v>26</v>
      </c>
      <c r="D4226" s="2" t="s">
        <v>27</v>
      </c>
      <c r="E4226" s="5">
        <v>-29642</v>
      </c>
      <c r="F4226" s="3" t="s">
        <v>248</v>
      </c>
      <c r="G4226" s="3" t="s">
        <v>20</v>
      </c>
      <c r="H4226" s="2" t="s">
        <v>36</v>
      </c>
      <c r="I4226" s="2" t="s">
        <v>10077</v>
      </c>
      <c r="J4226" s="3" t="str">
        <f>HYPERLINK("https://www.boe.es/gazeta/dias/1818/11/03/pdfs/GMD-1818-133.pdf#page=7","Abrir facsímil")</f>
        <v>Abrir facsímil</v>
      </c>
      <c r="K4226" s="3" t="s">
        <v>38</v>
      </c>
    </row>
    <row r="4227" spans="1:11" ht="42" customHeight="1">
      <c r="A4227" s="2" t="s">
        <v>10078</v>
      </c>
      <c r="B4227" s="2" t="s">
        <v>10079</v>
      </c>
      <c r="C4227" s="2" t="s">
        <v>68</v>
      </c>
      <c r="D4227" s="2" t="s">
        <v>69</v>
      </c>
      <c r="E4227" s="5">
        <v>-29799</v>
      </c>
      <c r="F4227" s="3" t="s">
        <v>135</v>
      </c>
      <c r="G4227" s="3" t="s">
        <v>45</v>
      </c>
      <c r="H4227" s="2" t="s">
        <v>36</v>
      </c>
      <c r="I4227" s="2" t="s">
        <v>10080</v>
      </c>
      <c r="J4227" s="3" t="str">
        <f>HYPERLINK("https://www.boe.es/gazeta/dias/1818/05/30/pdfs/GMD-1818-65.pdf#page=8","Abrir facsímil")</f>
        <v>Abrir facsímil</v>
      </c>
      <c r="K4227" s="3" t="s">
        <v>38</v>
      </c>
    </row>
    <row r="4228" spans="1:11" ht="42" customHeight="1">
      <c r="A4228" s="2" t="s">
        <v>10081</v>
      </c>
      <c r="B4228" s="2" t="s">
        <v>10082</v>
      </c>
      <c r="C4228" s="2" t="s">
        <v>26</v>
      </c>
      <c r="D4228" s="2" t="s">
        <v>668</v>
      </c>
      <c r="E4228" s="5">
        <v>-29661</v>
      </c>
      <c r="F4228" s="3" t="s">
        <v>669</v>
      </c>
      <c r="G4228" s="3" t="s">
        <v>85</v>
      </c>
      <c r="H4228" s="2" t="s">
        <v>36</v>
      </c>
      <c r="I4228" s="2" t="s">
        <v>10083</v>
      </c>
      <c r="J4228" s="3" t="str">
        <f>HYPERLINK("https://www.boe.es/gazeta/dias/1818/10/15/pdfs/GMD-1818-125E.pdf#page=3","Abrir facsímil")</f>
        <v>Abrir facsímil</v>
      </c>
      <c r="K4228" s="3" t="s">
        <v>38</v>
      </c>
    </row>
    <row r="4229" spans="1:11" ht="42" customHeight="1">
      <c r="A4229" s="2" t="s">
        <v>10084</v>
      </c>
      <c r="B4229" s="2" t="s">
        <v>10085</v>
      </c>
      <c r="C4229" s="2" t="s">
        <v>68</v>
      </c>
      <c r="D4229" s="2" t="s">
        <v>69</v>
      </c>
      <c r="E4229" s="5">
        <v>-29771</v>
      </c>
      <c r="F4229" s="3" t="s">
        <v>1260</v>
      </c>
      <c r="G4229" s="3" t="s">
        <v>45</v>
      </c>
      <c r="H4229" s="2" t="s">
        <v>36</v>
      </c>
      <c r="I4229" s="2" t="s">
        <v>10086</v>
      </c>
      <c r="J4229" s="3" t="str">
        <f>HYPERLINK("https://www.boe.es/gazeta/dias/1818/06/27/pdfs/GMD-1818-77.pdf#page=8","Abrir facsímil")</f>
        <v>Abrir facsímil</v>
      </c>
      <c r="K4229" s="3" t="s">
        <v>38</v>
      </c>
    </row>
    <row r="4230" spans="1:11" ht="42" customHeight="1">
      <c r="A4230" s="2" t="s">
        <v>10087</v>
      </c>
      <c r="B4230" s="2" t="s">
        <v>10088</v>
      </c>
      <c r="C4230" s="2" t="s">
        <v>215</v>
      </c>
      <c r="D4230" s="2" t="s">
        <v>18</v>
      </c>
      <c r="E4230" s="5">
        <v>-29862</v>
      </c>
      <c r="F4230" s="3" t="s">
        <v>925</v>
      </c>
      <c r="G4230" s="3" t="s">
        <v>59</v>
      </c>
      <c r="H4230" s="2" t="s">
        <v>36</v>
      </c>
      <c r="I4230" s="2" t="s">
        <v>10089</v>
      </c>
      <c r="J4230" s="3" t="str">
        <f>HYPERLINK("https://www.boe.es/gazeta/dias/1818/03/28/pdfs/GMD-1818-38.pdf#page=6","Abrir facsímil")</f>
        <v>Abrir facsímil</v>
      </c>
      <c r="K4230" s="3" t="s">
        <v>38</v>
      </c>
    </row>
    <row r="4231" spans="1:11" ht="42" customHeight="1">
      <c r="A4231" s="2" t="s">
        <v>10090</v>
      </c>
      <c r="B4231" s="2" t="s">
        <v>10091</v>
      </c>
      <c r="C4231" s="2" t="s">
        <v>57</v>
      </c>
      <c r="D4231" s="2" t="s">
        <v>18</v>
      </c>
      <c r="E4231" s="5">
        <v>-29799</v>
      </c>
      <c r="F4231" s="3" t="s">
        <v>135</v>
      </c>
      <c r="G4231" s="3" t="s">
        <v>136</v>
      </c>
      <c r="H4231" s="2" t="s">
        <v>36</v>
      </c>
      <c r="I4231" s="2" t="s">
        <v>10092</v>
      </c>
      <c r="J4231" s="3" t="str">
        <f>HYPERLINK("https://www.boe.es/gazeta/dias/1818/05/30/pdfs/GMD-1818-65.pdf#page=5","Abrir facsímil")</f>
        <v>Abrir facsímil</v>
      </c>
      <c r="K4231" s="3" t="s">
        <v>38</v>
      </c>
    </row>
    <row r="4232" spans="1:11" ht="42" customHeight="1">
      <c r="A4232" s="2" t="s">
        <v>10093</v>
      </c>
      <c r="B4232" s="2" t="s">
        <v>10094</v>
      </c>
      <c r="C4232" s="2" t="s">
        <v>17</v>
      </c>
      <c r="D4232" s="2" t="s">
        <v>18</v>
      </c>
      <c r="E4232" s="5">
        <v>-29680</v>
      </c>
      <c r="F4232" s="3" t="s">
        <v>865</v>
      </c>
      <c r="G4232" s="3" t="s">
        <v>45</v>
      </c>
      <c r="H4232" s="2" t="s">
        <v>36</v>
      </c>
      <c r="I4232" s="2" t="s">
        <v>10095</v>
      </c>
      <c r="J4232" s="3" t="str">
        <f>HYPERLINK("https://www.boe.es/gazeta/dias/1818/09/26/pdfs/GMD-1818-116.pdf#page=8","Abrir facsímil")</f>
        <v>Abrir facsímil</v>
      </c>
      <c r="K4232" s="3" t="s">
        <v>38</v>
      </c>
    </row>
    <row r="4233" spans="1:11" ht="42" customHeight="1">
      <c r="A4233" s="2" t="s">
        <v>10096</v>
      </c>
      <c r="B4233" s="2" t="s">
        <v>10097</v>
      </c>
      <c r="C4233" s="2" t="s">
        <v>26</v>
      </c>
      <c r="D4233" s="2" t="s">
        <v>27</v>
      </c>
      <c r="E4233" s="5">
        <v>-29934</v>
      </c>
      <c r="F4233" s="3" t="s">
        <v>53</v>
      </c>
      <c r="G4233" s="3" t="s">
        <v>59</v>
      </c>
      <c r="H4233" s="2" t="s">
        <v>36</v>
      </c>
      <c r="I4233" s="2" t="s">
        <v>10098</v>
      </c>
      <c r="J4233" s="3" t="str">
        <f>HYPERLINK("https://www.boe.es/gazeta/dias/1818/01/15/pdfs/GMD-1818-7.pdf#page=6","Abrir facsímil")</f>
        <v>Abrir facsímil</v>
      </c>
      <c r="K4233" s="3" t="s">
        <v>38</v>
      </c>
    </row>
    <row r="4234" spans="1:11" ht="42" customHeight="1">
      <c r="A4234" s="2" t="s">
        <v>10099</v>
      </c>
      <c r="B4234" s="2" t="s">
        <v>10099</v>
      </c>
      <c r="C4234" s="2" t="s">
        <v>26</v>
      </c>
      <c r="D4234" s="2" t="s">
        <v>27</v>
      </c>
      <c r="E4234" s="5">
        <v>-29932</v>
      </c>
      <c r="F4234" s="3" t="s">
        <v>34</v>
      </c>
      <c r="G4234" s="3" t="s">
        <v>10100</v>
      </c>
      <c r="H4234" s="2" t="s">
        <v>36</v>
      </c>
      <c r="I4234" s="2" t="s">
        <v>10101</v>
      </c>
      <c r="J4234" s="3" t="str">
        <f>HYPERLINK("https://www.boe.es/gazeta/dias/1818/01/17/pdfs/GMD-1818-8.pdf#page=2","Abrir facsímil")</f>
        <v>Abrir facsímil</v>
      </c>
      <c r="K4234" s="3" t="s">
        <v>38</v>
      </c>
    </row>
    <row r="4235" spans="1:11" ht="42" customHeight="1">
      <c r="A4235" s="2" t="s">
        <v>10102</v>
      </c>
      <c r="B4235" s="2" t="s">
        <v>10103</v>
      </c>
      <c r="C4235" s="2" t="s">
        <v>57</v>
      </c>
      <c r="D4235" s="2" t="s">
        <v>18</v>
      </c>
      <c r="E4235" s="5">
        <v>-29794</v>
      </c>
      <c r="F4235" s="3" t="s">
        <v>127</v>
      </c>
      <c r="G4235" s="3" t="s">
        <v>20</v>
      </c>
      <c r="H4235" s="2" t="s">
        <v>36</v>
      </c>
      <c r="I4235" s="2" t="s">
        <v>10104</v>
      </c>
      <c r="J4235" s="3" t="str">
        <f>HYPERLINK("https://www.boe.es/gazeta/dias/1818/06/04/pdfs/GMD-1818-67.pdf#page=7","Abrir facsímil")</f>
        <v>Abrir facsímil</v>
      </c>
      <c r="K4235" s="3" t="s">
        <v>38</v>
      </c>
    </row>
    <row r="4236" spans="1:11" ht="42" customHeight="1">
      <c r="A4236" s="2" t="s">
        <v>10105</v>
      </c>
      <c r="B4236" s="2" t="s">
        <v>10106</v>
      </c>
      <c r="C4236" s="2" t="s">
        <v>68</v>
      </c>
      <c r="D4236" s="2" t="s">
        <v>69</v>
      </c>
      <c r="E4236" s="5">
        <v>-29866</v>
      </c>
      <c r="F4236" s="3" t="s">
        <v>828</v>
      </c>
      <c r="G4236" s="3" t="s">
        <v>45</v>
      </c>
      <c r="H4236" s="2" t="s">
        <v>36</v>
      </c>
      <c r="I4236" s="2" t="s">
        <v>10107</v>
      </c>
      <c r="J4236" s="3" t="str">
        <f>HYPERLINK("https://www.boe.es/gazeta/dias/1818/03/24/pdfs/GMD-1818-36.pdf#page=8","Abrir facsímil")</f>
        <v>Abrir facsímil</v>
      </c>
      <c r="K4236" s="3" t="s">
        <v>38</v>
      </c>
    </row>
    <row r="4237" spans="1:11" ht="42" customHeight="1">
      <c r="A4237" s="2" t="s">
        <v>10108</v>
      </c>
      <c r="B4237" s="2" t="s">
        <v>10109</v>
      </c>
      <c r="C4237" s="2" t="s">
        <v>26</v>
      </c>
      <c r="D4237" s="2" t="s">
        <v>27</v>
      </c>
      <c r="E4237" s="5">
        <v>-29789</v>
      </c>
      <c r="F4237" s="3" t="s">
        <v>937</v>
      </c>
      <c r="G4237" s="3" t="s">
        <v>59</v>
      </c>
      <c r="H4237" s="2" t="s">
        <v>36</v>
      </c>
      <c r="I4237" s="2" t="s">
        <v>10110</v>
      </c>
      <c r="J4237" s="3" t="str">
        <f>HYPERLINK("https://www.boe.es/gazeta/dias/1818/06/09/pdfs/GMD-1818-69.pdf#page=6","Abrir facsímil")</f>
        <v>Abrir facsímil</v>
      </c>
      <c r="K4237" s="3" t="s">
        <v>38</v>
      </c>
    </row>
    <row r="4238" spans="1:11" ht="42" customHeight="1">
      <c r="A4238" s="2" t="s">
        <v>10111</v>
      </c>
      <c r="B4238" s="2" t="s">
        <v>10112</v>
      </c>
      <c r="C4238" s="2" t="s">
        <v>26</v>
      </c>
      <c r="D4238" s="2" t="s">
        <v>27</v>
      </c>
      <c r="E4238" s="5">
        <v>-29640</v>
      </c>
      <c r="F4238" s="3" t="s">
        <v>75</v>
      </c>
      <c r="G4238" s="3" t="s">
        <v>76</v>
      </c>
      <c r="H4238" s="2" t="s">
        <v>36</v>
      </c>
      <c r="I4238" s="2" t="s">
        <v>10113</v>
      </c>
      <c r="J4238" s="3" t="str">
        <f>HYPERLINK("https://www.boe.es/gazeta/dias/1818/11/05/pdfs/GMD-1818-134.pdf#page=5","Abrir facsímil")</f>
        <v>Abrir facsímil</v>
      </c>
      <c r="K4238" s="3" t="s">
        <v>38</v>
      </c>
    </row>
    <row r="4239" spans="1:11" ht="42" customHeight="1">
      <c r="A4239" s="2" t="s">
        <v>10111</v>
      </c>
      <c r="B4239" s="2" t="s">
        <v>10112</v>
      </c>
      <c r="C4239" s="2" t="s">
        <v>26</v>
      </c>
      <c r="D4239" s="2" t="s">
        <v>27</v>
      </c>
      <c r="E4239" s="5">
        <v>-29640</v>
      </c>
      <c r="F4239" s="3" t="s">
        <v>75</v>
      </c>
      <c r="G4239" s="3" t="s">
        <v>29</v>
      </c>
      <c r="H4239" s="2" t="s">
        <v>36</v>
      </c>
      <c r="I4239" s="2" t="s">
        <v>10114</v>
      </c>
      <c r="J4239" s="3" t="str">
        <f>HYPERLINK("https://www.boe.es/gazeta/dias/1818/11/05/pdfs/GMD-1818-134.pdf#page=4","Abrir facsímil")</f>
        <v>Abrir facsímil</v>
      </c>
      <c r="K4239" s="3" t="s">
        <v>38</v>
      </c>
    </row>
    <row r="4240" spans="1:11" ht="42" customHeight="1">
      <c r="A4240" s="2" t="s">
        <v>10115</v>
      </c>
      <c r="B4240" s="2" t="s">
        <v>10116</v>
      </c>
      <c r="C4240" s="2" t="s">
        <v>26</v>
      </c>
      <c r="D4240" s="2" t="s">
        <v>27</v>
      </c>
      <c r="E4240" s="5">
        <v>-29640</v>
      </c>
      <c r="F4240" s="3" t="s">
        <v>75</v>
      </c>
      <c r="G4240" s="3" t="s">
        <v>85</v>
      </c>
      <c r="H4240" s="2" t="s">
        <v>36</v>
      </c>
      <c r="I4240" s="2" t="s">
        <v>10117</v>
      </c>
      <c r="J4240" s="3" t="str">
        <f>HYPERLINK("https://www.boe.es/gazeta/dias/1818/11/05/pdfs/GMD-1818-134.pdf#page=3","Abrir facsímil")</f>
        <v>Abrir facsímil</v>
      </c>
      <c r="K4240" s="3" t="s">
        <v>38</v>
      </c>
    </row>
    <row r="4241" spans="1:11" ht="42" customHeight="1">
      <c r="A4241" s="2" t="s">
        <v>10118</v>
      </c>
      <c r="B4241" s="2" t="s">
        <v>10119</v>
      </c>
      <c r="C4241" s="2" t="s">
        <v>26</v>
      </c>
      <c r="D4241" s="2" t="s">
        <v>27</v>
      </c>
      <c r="E4241" s="5">
        <v>-29806</v>
      </c>
      <c r="F4241" s="3" t="s">
        <v>84</v>
      </c>
      <c r="G4241" s="3" t="s">
        <v>29</v>
      </c>
      <c r="H4241" s="2" t="s">
        <v>36</v>
      </c>
      <c r="I4241" s="2" t="s">
        <v>10120</v>
      </c>
      <c r="J4241" s="3" t="str">
        <f>HYPERLINK("https://www.boe.es/gazeta/dias/1818/05/23/pdfs/GMD-1818-62.pdf#page=4","Abrir facsímil")</f>
        <v>Abrir facsímil</v>
      </c>
      <c r="K4241" s="3" t="s">
        <v>38</v>
      </c>
    </row>
    <row r="4242" spans="1:11" ht="42" customHeight="1">
      <c r="A4242" s="2" t="s">
        <v>10121</v>
      </c>
      <c r="B4242" s="2" t="s">
        <v>10122</v>
      </c>
      <c r="C4242" s="2" t="s">
        <v>33</v>
      </c>
      <c r="D4242" s="2" t="s">
        <v>18</v>
      </c>
      <c r="E4242" s="5">
        <v>-29698</v>
      </c>
      <c r="F4242" s="3" t="s">
        <v>148</v>
      </c>
      <c r="G4242" s="3" t="s">
        <v>29</v>
      </c>
      <c r="H4242" s="2" t="s">
        <v>36</v>
      </c>
      <c r="I4242" s="2" t="s">
        <v>10123</v>
      </c>
      <c r="J4242" s="3" t="str">
        <f>HYPERLINK("https://www.boe.es/gazeta/dias/1818/09/08/pdfs/GMD-1818-108.pdf#page=4","Abrir facsímil")</f>
        <v>Abrir facsímil</v>
      </c>
      <c r="K4242" s="3" t="s">
        <v>38</v>
      </c>
    </row>
    <row r="4243" spans="1:11" ht="42" customHeight="1">
      <c r="A4243" s="2" t="s">
        <v>10124</v>
      </c>
      <c r="B4243" s="2" t="s">
        <v>10124</v>
      </c>
      <c r="C4243" s="2" t="s">
        <v>26</v>
      </c>
      <c r="D4243" s="2" t="s">
        <v>27</v>
      </c>
      <c r="E4243" s="5">
        <v>-29876</v>
      </c>
      <c r="F4243" s="3" t="s">
        <v>338</v>
      </c>
      <c r="G4243" s="3" t="s">
        <v>29</v>
      </c>
      <c r="H4243" s="2" t="s">
        <v>36</v>
      </c>
      <c r="I4243" s="2" t="s">
        <v>10125</v>
      </c>
      <c r="J4243" s="3" t="str">
        <f>HYPERLINK("https://www.boe.es/gazeta/dias/1818/03/14/pdfs/GMD-1818-32.pdf#page=4","Abrir facsímil")</f>
        <v>Abrir facsímil</v>
      </c>
      <c r="K4243" s="3" t="s">
        <v>38</v>
      </c>
    </row>
    <row r="4244" spans="1:11" ht="42" customHeight="1">
      <c r="A4244" s="2" t="s">
        <v>10124</v>
      </c>
      <c r="B4244" s="2" t="s">
        <v>10124</v>
      </c>
      <c r="C4244" s="2" t="s">
        <v>26</v>
      </c>
      <c r="D4244" s="2" t="s">
        <v>27</v>
      </c>
      <c r="E4244" s="5">
        <v>-29810</v>
      </c>
      <c r="F4244" s="3" t="s">
        <v>222</v>
      </c>
      <c r="G4244" s="3" t="s">
        <v>29</v>
      </c>
      <c r="H4244" s="2" t="s">
        <v>36</v>
      </c>
      <c r="I4244" s="2" t="s">
        <v>10126</v>
      </c>
      <c r="J4244" s="3" t="str">
        <f>HYPERLINK("https://www.boe.es/gazeta/dias/1818/05/19/pdfs/GMD-1818-60.pdf#page=4","Abrir facsímil")</f>
        <v>Abrir facsímil</v>
      </c>
      <c r="K4244" s="3" t="s">
        <v>38</v>
      </c>
    </row>
    <row r="4245" spans="1:11" ht="42" customHeight="1">
      <c r="A4245" s="2" t="s">
        <v>10127</v>
      </c>
      <c r="B4245" s="2" t="s">
        <v>10128</v>
      </c>
      <c r="C4245" s="2" t="s">
        <v>26</v>
      </c>
      <c r="D4245" s="2" t="s">
        <v>27</v>
      </c>
      <c r="E4245" s="5">
        <v>-29876</v>
      </c>
      <c r="F4245" s="3" t="s">
        <v>338</v>
      </c>
      <c r="G4245" s="3" t="s">
        <v>29</v>
      </c>
      <c r="H4245" s="2" t="s">
        <v>36</v>
      </c>
      <c r="I4245" s="2" t="s">
        <v>10129</v>
      </c>
      <c r="J4245" s="3" t="str">
        <f>HYPERLINK("https://www.boe.es/gazeta/dias/1818/03/14/pdfs/GMD-1818-32.pdf#page=4","Abrir facsímil")</f>
        <v>Abrir facsímil</v>
      </c>
      <c r="K4245" s="3" t="s">
        <v>38</v>
      </c>
    </row>
    <row r="4246" spans="1:11" ht="42" customHeight="1">
      <c r="A4246" s="2" t="s">
        <v>10130</v>
      </c>
      <c r="B4246" s="2" t="s">
        <v>10131</v>
      </c>
      <c r="C4246" s="2" t="s">
        <v>57</v>
      </c>
      <c r="D4246" s="2" t="s">
        <v>18</v>
      </c>
      <c r="E4246" s="5">
        <v>-29920</v>
      </c>
      <c r="F4246" s="3" t="s">
        <v>201</v>
      </c>
      <c r="G4246" s="3" t="s">
        <v>71</v>
      </c>
      <c r="H4246" s="2" t="s">
        <v>36</v>
      </c>
      <c r="I4246" s="2" t="s">
        <v>10132</v>
      </c>
      <c r="J4246" s="3" t="str">
        <f>HYPERLINK("https://www.boe.es/gazeta/dias/1818/01/29/pdfs/GMD-1818-13.pdf#page=16","Abrir facsímil")</f>
        <v>Abrir facsímil</v>
      </c>
      <c r="K4246" s="3" t="s">
        <v>38</v>
      </c>
    </row>
    <row r="4247" spans="1:11" ht="42" customHeight="1">
      <c r="A4247" s="2" t="s">
        <v>10133</v>
      </c>
      <c r="B4247" s="2" t="s">
        <v>10134</v>
      </c>
      <c r="C4247" s="2" t="s">
        <v>17</v>
      </c>
      <c r="D4247" s="2" t="s">
        <v>18</v>
      </c>
      <c r="E4247" s="5">
        <v>-29687</v>
      </c>
      <c r="F4247" s="3" t="s">
        <v>686</v>
      </c>
      <c r="G4247" s="3" t="s">
        <v>106</v>
      </c>
      <c r="H4247" s="2" t="s">
        <v>36</v>
      </c>
      <c r="I4247" s="2" t="s">
        <v>10135</v>
      </c>
      <c r="J4247" s="3" t="str">
        <f>HYPERLINK("https://www.boe.es/gazeta/dias/1818/09/19/pdfs/GMD-1818-113.pdf#page=5","Abrir facsímil")</f>
        <v>Abrir facsímil</v>
      </c>
      <c r="K4247" s="3" t="s">
        <v>38</v>
      </c>
    </row>
    <row r="4248" spans="1:11" ht="42" customHeight="1">
      <c r="A4248" s="2" t="s">
        <v>10136</v>
      </c>
      <c r="B4248" s="2" t="s">
        <v>10137</v>
      </c>
      <c r="C4248" s="2" t="s">
        <v>68</v>
      </c>
      <c r="D4248" s="2" t="s">
        <v>69</v>
      </c>
      <c r="E4248" s="5">
        <v>-29598</v>
      </c>
      <c r="F4248" s="3" t="s">
        <v>98</v>
      </c>
      <c r="G4248" s="3" t="s">
        <v>106</v>
      </c>
      <c r="H4248" s="2" t="s">
        <v>36</v>
      </c>
      <c r="I4248" s="2" t="s">
        <v>10138</v>
      </c>
      <c r="J4248" s="3" t="str">
        <f>HYPERLINK("https://www.boe.es/gazeta/dias/1818/12/17/pdfs/GMD-1818-152.pdf#page=5","Abrir facsímil")</f>
        <v>Abrir facsímil</v>
      </c>
      <c r="K4248" s="3" t="s">
        <v>38</v>
      </c>
    </row>
    <row r="4249" spans="1:11" ht="42" customHeight="1">
      <c r="A4249" s="2" t="s">
        <v>10139</v>
      </c>
      <c r="B4249" s="2" t="s">
        <v>10140</v>
      </c>
      <c r="C4249" s="2" t="s">
        <v>33</v>
      </c>
      <c r="D4249" s="2" t="s">
        <v>18</v>
      </c>
      <c r="E4249" s="5">
        <v>-29836</v>
      </c>
      <c r="F4249" s="3" t="s">
        <v>119</v>
      </c>
      <c r="G4249" s="3" t="s">
        <v>45</v>
      </c>
      <c r="H4249" s="2" t="s">
        <v>36</v>
      </c>
      <c r="I4249" s="2" t="s">
        <v>10141</v>
      </c>
      <c r="J4249" s="3" t="str">
        <f>HYPERLINK("https://www.boe.es/gazeta/dias/1818/04/23/pdfs/GMD-1818-49.pdf#page=8","Abrir facsímil")</f>
        <v>Abrir facsímil</v>
      </c>
      <c r="K4249" s="3" t="s">
        <v>38</v>
      </c>
    </row>
    <row r="4250" spans="1:11" ht="42" customHeight="1">
      <c r="A4250" s="2" t="s">
        <v>10142</v>
      </c>
      <c r="B4250" s="2" t="s">
        <v>10143</v>
      </c>
      <c r="C4250" s="2" t="s">
        <v>17</v>
      </c>
      <c r="D4250" s="2" t="s">
        <v>18</v>
      </c>
      <c r="E4250" s="5">
        <v>-29794</v>
      </c>
      <c r="F4250" s="3" t="s">
        <v>127</v>
      </c>
      <c r="G4250" s="3" t="s">
        <v>45</v>
      </c>
      <c r="H4250" s="2" t="s">
        <v>21</v>
      </c>
      <c r="I4250" s="2" t="s">
        <v>10144</v>
      </c>
      <c r="J4250" s="3" t="str">
        <f>HYPERLINK("https://www.boe.es/gazeta/dias/1818/06/04/pdfs/GMD-1818-67.pdf#page=8","Abrir facsímil")</f>
        <v>Abrir facsímil</v>
      </c>
      <c r="K4250" s="3" t="s">
        <v>23</v>
      </c>
    </row>
    <row r="4251" spans="1:11" ht="42" customHeight="1">
      <c r="A4251" s="2" t="s">
        <v>10145</v>
      </c>
      <c r="B4251" s="2" t="s">
        <v>10146</v>
      </c>
      <c r="C4251" s="2" t="s">
        <v>17</v>
      </c>
      <c r="D4251" s="2" t="s">
        <v>18</v>
      </c>
      <c r="E4251" s="5">
        <v>-29745</v>
      </c>
      <c r="F4251" s="3" t="s">
        <v>409</v>
      </c>
      <c r="G4251" s="3" t="s">
        <v>106</v>
      </c>
      <c r="H4251" s="2" t="s">
        <v>36</v>
      </c>
      <c r="I4251" s="2" t="s">
        <v>10147</v>
      </c>
      <c r="J4251" s="3" t="str">
        <f>HYPERLINK("https://www.boe.es/gazeta/dias/1818/07/23/pdfs/GMD-1818-88.pdf#page=5","Abrir facsímil")</f>
        <v>Abrir facsímil</v>
      </c>
      <c r="K4251" s="3" t="s">
        <v>38</v>
      </c>
    </row>
    <row r="4252" spans="1:11" ht="42" customHeight="1">
      <c r="A4252" s="2" t="s">
        <v>10148</v>
      </c>
      <c r="B4252" s="2" t="s">
        <v>10149</v>
      </c>
      <c r="C4252" s="2" t="s">
        <v>26</v>
      </c>
      <c r="D4252" s="2" t="s">
        <v>27</v>
      </c>
      <c r="E4252" s="5">
        <v>-29936</v>
      </c>
      <c r="F4252" s="3" t="s">
        <v>398</v>
      </c>
      <c r="G4252" s="3" t="s">
        <v>29</v>
      </c>
      <c r="H4252" s="2" t="s">
        <v>36</v>
      </c>
      <c r="I4252" s="2" t="s">
        <v>10150</v>
      </c>
      <c r="J4252" s="3" t="str">
        <f>HYPERLINK("https://www.boe.es/gazeta/dias/1818/01/13/pdfs/GMD-1818-6.pdf#page=4","Abrir facsímil")</f>
        <v>Abrir facsímil</v>
      </c>
      <c r="K4252" s="3" t="s">
        <v>38</v>
      </c>
    </row>
    <row r="4253" spans="1:11" ht="42" customHeight="1">
      <c r="A4253" s="2" t="s">
        <v>10151</v>
      </c>
      <c r="B4253" s="2" t="s">
        <v>10152</v>
      </c>
      <c r="C4253" s="2" t="s">
        <v>97</v>
      </c>
      <c r="D4253" s="2" t="s">
        <v>18</v>
      </c>
      <c r="E4253" s="5">
        <v>-29908</v>
      </c>
      <c r="F4253" s="3" t="s">
        <v>695</v>
      </c>
      <c r="G4253" s="3" t="s">
        <v>29</v>
      </c>
      <c r="H4253" s="2" t="s">
        <v>36</v>
      </c>
      <c r="I4253" s="2" t="s">
        <v>10153</v>
      </c>
      <c r="J4253" s="3" t="str">
        <f>HYPERLINK("https://www.boe.es/gazeta/dias/1818/02/10/pdfs/GMD-1818-18.pdf#page=4","Abrir facsímil")</f>
        <v>Abrir facsímil</v>
      </c>
      <c r="K4253" s="3" t="s">
        <v>38</v>
      </c>
    </row>
    <row r="4254" spans="1:11" ht="42" customHeight="1">
      <c r="A4254" s="2" t="s">
        <v>10154</v>
      </c>
      <c r="B4254" s="2" t="s">
        <v>10155</v>
      </c>
      <c r="C4254" s="2" t="s">
        <v>68</v>
      </c>
      <c r="D4254" s="2" t="s">
        <v>69</v>
      </c>
      <c r="E4254" s="5">
        <v>-29757</v>
      </c>
      <c r="F4254" s="3" t="s">
        <v>115</v>
      </c>
      <c r="G4254" s="3" t="s">
        <v>20</v>
      </c>
      <c r="H4254" s="2" t="s">
        <v>36</v>
      </c>
      <c r="I4254" s="2" t="s">
        <v>10156</v>
      </c>
      <c r="J4254" s="3" t="str">
        <f>HYPERLINK("https://www.boe.es/gazeta/dias/1818/07/11/pdfs/GMD-1818-83.pdf#page=7","Abrir facsímil")</f>
        <v>Abrir facsímil</v>
      </c>
      <c r="K4254" s="3" t="s">
        <v>38</v>
      </c>
    </row>
    <row r="4255" spans="1:11" ht="42" customHeight="1">
      <c r="A4255" s="2" t="s">
        <v>10157</v>
      </c>
      <c r="B4255" s="2" t="s">
        <v>10158</v>
      </c>
      <c r="C4255" s="2" t="s">
        <v>63</v>
      </c>
      <c r="D4255" s="2" t="s">
        <v>18</v>
      </c>
      <c r="E4255" s="5">
        <v>-29862</v>
      </c>
      <c r="F4255" s="3" t="s">
        <v>925</v>
      </c>
      <c r="G4255" s="3" t="s">
        <v>45</v>
      </c>
      <c r="H4255" s="2" t="s">
        <v>36</v>
      </c>
      <c r="I4255" s="2" t="s">
        <v>10159</v>
      </c>
      <c r="J4255" s="3" t="str">
        <f>HYPERLINK("https://www.boe.es/gazeta/dias/1818/03/28/pdfs/GMD-1818-38.pdf#page=8","Abrir facsímil")</f>
        <v>Abrir facsímil</v>
      </c>
      <c r="K4255" s="3" t="s">
        <v>38</v>
      </c>
    </row>
    <row r="4256" spans="1:11" ht="42" customHeight="1">
      <c r="A4256" s="2" t="s">
        <v>10160</v>
      </c>
      <c r="B4256" s="2" t="s">
        <v>10161</v>
      </c>
      <c r="C4256" s="2" t="s">
        <v>26</v>
      </c>
      <c r="D4256" s="2" t="s">
        <v>27</v>
      </c>
      <c r="E4256" s="5">
        <v>-29586</v>
      </c>
      <c r="F4256" s="3" t="s">
        <v>683</v>
      </c>
      <c r="G4256" s="3" t="s">
        <v>59</v>
      </c>
      <c r="H4256" s="2" t="s">
        <v>36</v>
      </c>
      <c r="I4256" s="2" t="s">
        <v>10162</v>
      </c>
      <c r="J4256" s="3" t="str">
        <f>HYPERLINK("https://www.boe.es/gazeta/dias/1818/12/29/pdfs/GMD-1818-158.pdf#page=6","Abrir facsímil")</f>
        <v>Abrir facsímil</v>
      </c>
      <c r="K4256" s="3" t="s">
        <v>38</v>
      </c>
    </row>
    <row r="4257" spans="1:11" ht="42" customHeight="1">
      <c r="A4257" s="2" t="s">
        <v>10163</v>
      </c>
      <c r="B4257" s="2" t="s">
        <v>10164</v>
      </c>
      <c r="C4257" s="2" t="s">
        <v>97</v>
      </c>
      <c r="D4257" s="2" t="s">
        <v>18</v>
      </c>
      <c r="E4257" s="5">
        <v>-29621</v>
      </c>
      <c r="F4257" s="3" t="s">
        <v>1561</v>
      </c>
      <c r="G4257" s="3" t="s">
        <v>45</v>
      </c>
      <c r="H4257" s="2" t="s">
        <v>21</v>
      </c>
      <c r="I4257" s="2" t="s">
        <v>10165</v>
      </c>
      <c r="J4257" s="3" t="str">
        <f>HYPERLINK("https://www.boe.es/gazeta/dias/1818/11/24/pdfs/GMD-1818-142.pdf#page=8","Abrir facsímil")</f>
        <v>Abrir facsímil</v>
      </c>
      <c r="K4257" s="3" t="s">
        <v>23</v>
      </c>
    </row>
    <row r="4258" spans="1:11" ht="42" customHeight="1">
      <c r="A4258" s="2" t="s">
        <v>10166</v>
      </c>
      <c r="B4258" s="2" t="s">
        <v>10167</v>
      </c>
      <c r="C4258" s="2" t="s">
        <v>26</v>
      </c>
      <c r="D4258" s="2" t="s">
        <v>27</v>
      </c>
      <c r="E4258" s="5">
        <v>-29750</v>
      </c>
      <c r="F4258" s="3" t="s">
        <v>384</v>
      </c>
      <c r="G4258" s="3" t="s">
        <v>111</v>
      </c>
      <c r="H4258" s="2" t="s">
        <v>36</v>
      </c>
      <c r="I4258" s="2" t="s">
        <v>10168</v>
      </c>
      <c r="J4258" s="3" t="str">
        <f>HYPERLINK("https://www.boe.es/gazeta/dias/1818/07/18/pdfs/GMD-1818-86.pdf#page=11","Abrir facsímil")</f>
        <v>Abrir facsímil</v>
      </c>
      <c r="K4258" s="3" t="s">
        <v>38</v>
      </c>
    </row>
    <row r="4259" spans="1:11" ht="42" customHeight="1">
      <c r="A4259" s="2" t="s">
        <v>10169</v>
      </c>
      <c r="B4259" s="2" t="s">
        <v>10170</v>
      </c>
      <c r="C4259" s="2" t="s">
        <v>63</v>
      </c>
      <c r="D4259" s="2" t="s">
        <v>18</v>
      </c>
      <c r="E4259" s="5">
        <v>-29619</v>
      </c>
      <c r="F4259" s="3" t="s">
        <v>64</v>
      </c>
      <c r="G4259" s="3" t="s">
        <v>20</v>
      </c>
      <c r="H4259" s="2" t="s">
        <v>21</v>
      </c>
      <c r="I4259" s="2" t="s">
        <v>10171</v>
      </c>
      <c r="J4259" s="3" t="str">
        <f>HYPERLINK("https://www.boe.es/gazeta/dias/1818/11/26/pdfs/GMD-1818-143.pdf#page=7","Abrir facsímil")</f>
        <v>Abrir facsímil</v>
      </c>
      <c r="K4259" s="3" t="s">
        <v>23</v>
      </c>
    </row>
    <row r="4260" spans="1:11" ht="42" customHeight="1">
      <c r="A4260" s="2" t="s">
        <v>10172</v>
      </c>
      <c r="B4260" s="2" t="s">
        <v>10173</v>
      </c>
      <c r="C4260" s="2" t="s">
        <v>68</v>
      </c>
      <c r="D4260" s="2" t="s">
        <v>69</v>
      </c>
      <c r="E4260" s="5">
        <v>-29757</v>
      </c>
      <c r="F4260" s="3" t="s">
        <v>115</v>
      </c>
      <c r="G4260" s="3" t="s">
        <v>418</v>
      </c>
      <c r="H4260" s="2" t="s">
        <v>36</v>
      </c>
      <c r="I4260" s="2" t="s">
        <v>10174</v>
      </c>
      <c r="J4260" s="3" t="str">
        <f>HYPERLINK("https://www.boe.es/gazeta/dias/1818/07/11/pdfs/GMD-1818-83.pdf#page=9","Abrir facsímil")</f>
        <v>Abrir facsímil</v>
      </c>
      <c r="K4260" s="3" t="s">
        <v>38</v>
      </c>
    </row>
    <row r="4261" spans="1:11" ht="42" customHeight="1">
      <c r="A4261" s="2" t="s">
        <v>10172</v>
      </c>
      <c r="B4261" s="2" t="s">
        <v>10173</v>
      </c>
      <c r="C4261" s="2" t="s">
        <v>68</v>
      </c>
      <c r="D4261" s="2" t="s">
        <v>69</v>
      </c>
      <c r="E4261" s="5">
        <v>-29652</v>
      </c>
      <c r="F4261" s="3" t="s">
        <v>741</v>
      </c>
      <c r="G4261" s="3" t="s">
        <v>20</v>
      </c>
      <c r="H4261" s="2" t="s">
        <v>36</v>
      </c>
      <c r="I4261" s="2" t="s">
        <v>10175</v>
      </c>
      <c r="J4261" s="3" t="str">
        <f>HYPERLINK("https://www.boe.es/gazeta/dias/1818/10/24/pdfs/GMD-1818-129.pdf#page=7","Abrir facsímil")</f>
        <v>Abrir facsímil</v>
      </c>
      <c r="K4261" s="3" t="s">
        <v>38</v>
      </c>
    </row>
    <row r="4262" spans="1:11" ht="42" customHeight="1">
      <c r="A4262" s="2" t="s">
        <v>10176</v>
      </c>
      <c r="B4262" s="2" t="s">
        <v>10177</v>
      </c>
      <c r="C4262" s="2" t="s">
        <v>17</v>
      </c>
      <c r="D4262" s="2" t="s">
        <v>18</v>
      </c>
      <c r="E4262" s="5">
        <v>-29717</v>
      </c>
      <c r="F4262" s="3" t="s">
        <v>1644</v>
      </c>
      <c r="G4262" s="3" t="s">
        <v>29</v>
      </c>
      <c r="H4262" s="2" t="s">
        <v>36</v>
      </c>
      <c r="I4262" s="2" t="s">
        <v>10178</v>
      </c>
      <c r="J4262" s="3" t="str">
        <f>HYPERLINK("https://www.boe.es/gazeta/dias/1818/08/20/pdfs/GMD-1818-100.pdf#page=4","Abrir facsímil")</f>
        <v>Abrir facsímil</v>
      </c>
      <c r="K4262" s="3" t="s">
        <v>38</v>
      </c>
    </row>
    <row r="4263" spans="1:11" ht="42" customHeight="1">
      <c r="A4263" s="2" t="s">
        <v>10179</v>
      </c>
      <c r="B4263" s="2" t="s">
        <v>10180</v>
      </c>
      <c r="C4263" s="2" t="s">
        <v>17</v>
      </c>
      <c r="D4263" s="2" t="s">
        <v>18</v>
      </c>
      <c r="E4263" s="5">
        <v>-29703</v>
      </c>
      <c r="F4263" s="3" t="s">
        <v>294</v>
      </c>
      <c r="G4263" s="3" t="s">
        <v>59</v>
      </c>
      <c r="H4263" s="2" t="s">
        <v>36</v>
      </c>
      <c r="I4263" s="2" t="s">
        <v>10181</v>
      </c>
      <c r="J4263" s="3" t="str">
        <f>HYPERLINK("https://www.boe.es/gazeta/dias/1818/09/03/pdfs/GMD-1818-106.pdf#page=6","Abrir facsímil")</f>
        <v>Abrir facsímil</v>
      </c>
      <c r="K4263" s="3" t="s">
        <v>38</v>
      </c>
    </row>
    <row r="4264" spans="1:11" ht="42" customHeight="1">
      <c r="A4264" s="2" t="s">
        <v>10182</v>
      </c>
      <c r="B4264" s="2" t="s">
        <v>10183</v>
      </c>
      <c r="C4264" s="2" t="s">
        <v>57</v>
      </c>
      <c r="D4264" s="2" t="s">
        <v>18</v>
      </c>
      <c r="E4264" s="5">
        <v>-29698</v>
      </c>
      <c r="F4264" s="3" t="s">
        <v>148</v>
      </c>
      <c r="G4264" s="3" t="s">
        <v>59</v>
      </c>
      <c r="H4264" s="2" t="s">
        <v>36</v>
      </c>
      <c r="I4264" s="2" t="s">
        <v>10184</v>
      </c>
      <c r="J4264" s="3" t="str">
        <f>HYPERLINK("https://www.boe.es/gazeta/dias/1818/09/08/pdfs/GMD-1818-108.pdf#page=6","Abrir facsímil")</f>
        <v>Abrir facsímil</v>
      </c>
      <c r="K4264" s="3" t="s">
        <v>38</v>
      </c>
    </row>
    <row r="4265" spans="1:11" ht="42" customHeight="1">
      <c r="A4265" s="2" t="s">
        <v>10185</v>
      </c>
      <c r="B4265" s="2" t="s">
        <v>10186</v>
      </c>
      <c r="C4265" s="2" t="s">
        <v>26</v>
      </c>
      <c r="D4265" s="2" t="s">
        <v>27</v>
      </c>
      <c r="E4265" s="5">
        <v>-29806</v>
      </c>
      <c r="F4265" s="3" t="s">
        <v>84</v>
      </c>
      <c r="G4265" s="3" t="s">
        <v>29</v>
      </c>
      <c r="H4265" s="2" t="s">
        <v>36</v>
      </c>
      <c r="I4265" s="2" t="s">
        <v>10187</v>
      </c>
      <c r="J4265" s="3" t="str">
        <f>HYPERLINK("https://www.boe.es/gazeta/dias/1818/05/23/pdfs/GMD-1818-62.pdf#page=4","Abrir facsímil")</f>
        <v>Abrir facsímil</v>
      </c>
      <c r="K4265" s="3" t="s">
        <v>38</v>
      </c>
    </row>
    <row r="4266" spans="1:11" ht="42" customHeight="1">
      <c r="A4266" s="2" t="s">
        <v>10188</v>
      </c>
      <c r="B4266" s="2" t="s">
        <v>10189</v>
      </c>
      <c r="C4266" s="2" t="s">
        <v>26</v>
      </c>
      <c r="D4266" s="2" t="s">
        <v>27</v>
      </c>
      <c r="E4266" s="5">
        <v>-29913</v>
      </c>
      <c r="F4266" s="3" t="s">
        <v>449</v>
      </c>
      <c r="G4266" s="3" t="s">
        <v>45</v>
      </c>
      <c r="H4266" s="2" t="s">
        <v>36</v>
      </c>
      <c r="I4266" s="2" t="s">
        <v>10190</v>
      </c>
      <c r="J4266" s="3" t="str">
        <f>HYPERLINK("https://www.boe.es/gazeta/dias/1818/02/05/pdfs/GMD-1818-16.pdf#page=8","Abrir facsímil")</f>
        <v>Abrir facsímil</v>
      </c>
      <c r="K4266" s="3" t="s">
        <v>38</v>
      </c>
    </row>
    <row r="4267" spans="1:11" ht="42" customHeight="1">
      <c r="A4267" s="2" t="s">
        <v>10188</v>
      </c>
      <c r="B4267" s="2" t="s">
        <v>10189</v>
      </c>
      <c r="C4267" s="2" t="s">
        <v>26</v>
      </c>
      <c r="D4267" s="2" t="s">
        <v>27</v>
      </c>
      <c r="E4267" s="5">
        <v>-29897</v>
      </c>
      <c r="F4267" s="3" t="s">
        <v>318</v>
      </c>
      <c r="G4267" s="3" t="s">
        <v>29</v>
      </c>
      <c r="H4267" s="2" t="s">
        <v>36</v>
      </c>
      <c r="I4267" s="2" t="s">
        <v>10191</v>
      </c>
      <c r="J4267" s="3" t="str">
        <f>HYPERLINK("https://www.boe.es/gazeta/dias/1818/02/21/pdfs/GMD-1818-23.pdf#page=4","Abrir facsímil")</f>
        <v>Abrir facsímil</v>
      </c>
      <c r="K4267" s="3" t="s">
        <v>38</v>
      </c>
    </row>
    <row r="4268" spans="1:11" ht="42" customHeight="1">
      <c r="A4268" s="2" t="s">
        <v>10188</v>
      </c>
      <c r="B4268" s="2" t="s">
        <v>10189</v>
      </c>
      <c r="C4268" s="2" t="s">
        <v>26</v>
      </c>
      <c r="D4268" s="2" t="s">
        <v>27</v>
      </c>
      <c r="E4268" s="5">
        <v>-29803</v>
      </c>
      <c r="F4268" s="3" t="s">
        <v>1393</v>
      </c>
      <c r="G4268" s="3" t="s">
        <v>85</v>
      </c>
      <c r="H4268" s="2" t="s">
        <v>36</v>
      </c>
      <c r="I4268" s="2" t="s">
        <v>10192</v>
      </c>
      <c r="J4268" s="3" t="str">
        <f>HYPERLINK("https://www.boe.es/gazeta/dias/1818/05/26/pdfs/GMD-1818-63.pdf#page=3","Abrir facsímil")</f>
        <v>Abrir facsímil</v>
      </c>
      <c r="K4268" s="3" t="s">
        <v>38</v>
      </c>
    </row>
    <row r="4269" spans="1:11" ht="42" customHeight="1">
      <c r="A4269" s="2" t="s">
        <v>10188</v>
      </c>
      <c r="B4269" s="2" t="s">
        <v>10189</v>
      </c>
      <c r="C4269" s="2" t="s">
        <v>17</v>
      </c>
      <c r="D4269" s="2" t="s">
        <v>18</v>
      </c>
      <c r="E4269" s="5">
        <v>-29589</v>
      </c>
      <c r="F4269" s="3" t="s">
        <v>210</v>
      </c>
      <c r="G4269" s="3" t="s">
        <v>29</v>
      </c>
      <c r="H4269" s="2" t="s">
        <v>36</v>
      </c>
      <c r="I4269" s="2" t="s">
        <v>10193</v>
      </c>
      <c r="J4269" s="3" t="str">
        <f>HYPERLINK("https://www.boe.es/gazeta/dias/1818/12/26/pdfs/GMD-1818-156.pdf#page=4","Abrir facsímil")</f>
        <v>Abrir facsímil</v>
      </c>
      <c r="K4269" s="3" t="s">
        <v>38</v>
      </c>
    </row>
    <row r="4270" spans="1:11" ht="42" customHeight="1">
      <c r="A4270" s="2" t="s">
        <v>10188</v>
      </c>
      <c r="B4270" s="2" t="s">
        <v>10189</v>
      </c>
      <c r="C4270" s="2" t="s">
        <v>26</v>
      </c>
      <c r="D4270" s="2" t="s">
        <v>27</v>
      </c>
      <c r="E4270" s="5">
        <v>-29589</v>
      </c>
      <c r="F4270" s="3" t="s">
        <v>210</v>
      </c>
      <c r="G4270" s="3" t="s">
        <v>106</v>
      </c>
      <c r="H4270" s="2" t="s">
        <v>36</v>
      </c>
      <c r="I4270" s="2" t="s">
        <v>10194</v>
      </c>
      <c r="J4270" s="3" t="str">
        <f>HYPERLINK("https://www.boe.es/gazeta/dias/1818/12/26/pdfs/GMD-1818-156.pdf#page=5","Abrir facsímil")</f>
        <v>Abrir facsímil</v>
      </c>
      <c r="K4270" s="3" t="s">
        <v>38</v>
      </c>
    </row>
    <row r="4271" spans="1:11" ht="42" customHeight="1">
      <c r="A4271" s="2" t="s">
        <v>10195</v>
      </c>
      <c r="B4271" s="2" t="s">
        <v>10196</v>
      </c>
      <c r="C4271" s="2" t="s">
        <v>17</v>
      </c>
      <c r="D4271" s="2" t="s">
        <v>18</v>
      </c>
      <c r="E4271" s="5">
        <v>-29675</v>
      </c>
      <c r="F4271" s="3" t="s">
        <v>2314</v>
      </c>
      <c r="G4271" s="3" t="s">
        <v>45</v>
      </c>
      <c r="H4271" s="2" t="s">
        <v>36</v>
      </c>
      <c r="I4271" s="2" t="s">
        <v>10197</v>
      </c>
      <c r="J4271" s="3" t="str">
        <f>HYPERLINK("https://www.boe.es/gazeta/dias/1818/10/01/pdfs/GMD-1818-118.pdf#page=8","Abrir facsímil")</f>
        <v>Abrir facsímil</v>
      </c>
      <c r="K4271" s="3" t="s">
        <v>38</v>
      </c>
    </row>
    <row r="4272" spans="1:11" ht="42" customHeight="1">
      <c r="A4272" s="2" t="s">
        <v>10198</v>
      </c>
      <c r="B4272" s="2" t="s">
        <v>10199</v>
      </c>
      <c r="C4272" s="2" t="s">
        <v>68</v>
      </c>
      <c r="D4272" s="2" t="s">
        <v>69</v>
      </c>
      <c r="E4272" s="5">
        <v>-29936</v>
      </c>
      <c r="F4272" s="3" t="s">
        <v>398</v>
      </c>
      <c r="G4272" s="3" t="s">
        <v>20</v>
      </c>
      <c r="H4272" s="2" t="s">
        <v>36</v>
      </c>
      <c r="I4272" s="2" t="s">
        <v>10200</v>
      </c>
      <c r="J4272" s="3" t="str">
        <f>HYPERLINK("https://www.boe.es/gazeta/dias/1818/01/13/pdfs/GMD-1818-6.pdf#page=7","Abrir facsímil")</f>
        <v>Abrir facsímil</v>
      </c>
      <c r="K4272" s="3" t="s">
        <v>38</v>
      </c>
    </row>
    <row r="4273" spans="1:11" ht="42" customHeight="1">
      <c r="A4273" s="2" t="s">
        <v>10201</v>
      </c>
      <c r="B4273" s="2" t="s">
        <v>10201</v>
      </c>
      <c r="C4273" s="2" t="s">
        <v>17</v>
      </c>
      <c r="D4273" s="2" t="s">
        <v>18</v>
      </c>
      <c r="E4273" s="5">
        <v>-29663</v>
      </c>
      <c r="F4273" s="3" t="s">
        <v>1011</v>
      </c>
      <c r="G4273" s="3" t="s">
        <v>59</v>
      </c>
      <c r="H4273" s="2" t="s">
        <v>36</v>
      </c>
      <c r="I4273" s="2" t="s">
        <v>10202</v>
      </c>
      <c r="J4273" s="3" t="str">
        <f>HYPERLINK("https://www.boe.es/gazeta/dias/1818/10/13/pdfs/GMD-1818-123.pdf#page=6","Abrir facsímil")</f>
        <v>Abrir facsímil</v>
      </c>
      <c r="K4273" s="3" t="s">
        <v>38</v>
      </c>
    </row>
    <row r="4274" spans="1:11" ht="42" customHeight="1">
      <c r="A4274" s="2" t="s">
        <v>10203</v>
      </c>
      <c r="B4274" s="2" t="s">
        <v>10204</v>
      </c>
      <c r="C4274" s="2" t="s">
        <v>57</v>
      </c>
      <c r="D4274" s="2" t="s">
        <v>18</v>
      </c>
      <c r="E4274" s="5">
        <v>-29617</v>
      </c>
      <c r="F4274" s="3" t="s">
        <v>995</v>
      </c>
      <c r="G4274" s="3" t="s">
        <v>45</v>
      </c>
      <c r="H4274" s="2" t="s">
        <v>36</v>
      </c>
      <c r="I4274" s="2" t="s">
        <v>10205</v>
      </c>
      <c r="J4274" s="3" t="str">
        <f>HYPERLINK("https://www.boe.es/gazeta/dias/1818/11/28/pdfs/GMD-1818-144.pdf#page=8","Abrir facsímil")</f>
        <v>Abrir facsímil</v>
      </c>
      <c r="K4274" s="3" t="s">
        <v>38</v>
      </c>
    </row>
    <row r="4275" spans="1:11" ht="42" customHeight="1">
      <c r="A4275" s="2" t="s">
        <v>10206</v>
      </c>
      <c r="B4275" s="2" t="s">
        <v>10206</v>
      </c>
      <c r="C4275" s="2" t="s">
        <v>26</v>
      </c>
      <c r="D4275" s="2" t="s">
        <v>27</v>
      </c>
      <c r="E4275" s="5">
        <v>-29841</v>
      </c>
      <c r="F4275" s="3" t="s">
        <v>19</v>
      </c>
      <c r="G4275" s="3" t="s">
        <v>59</v>
      </c>
      <c r="H4275" s="2" t="s">
        <v>36</v>
      </c>
      <c r="I4275" s="2" t="s">
        <v>10207</v>
      </c>
      <c r="J4275" s="3" t="str">
        <f>HYPERLINK("https://www.boe.es/gazeta/dias/1818/04/18/pdfs/GMD-1818-47.pdf#page=6","Abrir facsímil")</f>
        <v>Abrir facsímil</v>
      </c>
      <c r="K4275" s="3" t="s">
        <v>38</v>
      </c>
    </row>
    <row r="4276" spans="1:11" ht="42" customHeight="1">
      <c r="A4276" s="2" t="s">
        <v>10208</v>
      </c>
      <c r="B4276" s="2" t="s">
        <v>10209</v>
      </c>
      <c r="C4276" s="2" t="s">
        <v>26</v>
      </c>
      <c r="D4276" s="2" t="s">
        <v>27</v>
      </c>
      <c r="E4276" s="5">
        <v>-29661</v>
      </c>
      <c r="F4276" s="3" t="s">
        <v>348</v>
      </c>
      <c r="G4276" s="3" t="s">
        <v>85</v>
      </c>
      <c r="H4276" s="2" t="s">
        <v>36</v>
      </c>
      <c r="I4276" s="2" t="s">
        <v>10210</v>
      </c>
      <c r="J4276" s="3" t="str">
        <f>HYPERLINK("https://www.boe.es/gazeta/dias/1818/10/15/pdfs/GMD-1818-124.pdf#page=3","Abrir facsímil")</f>
        <v>Abrir facsímil</v>
      </c>
      <c r="K4276" s="3" t="s">
        <v>38</v>
      </c>
    </row>
    <row r="4277" spans="1:11" ht="42" customHeight="1">
      <c r="A4277" s="2" t="s">
        <v>10211</v>
      </c>
      <c r="B4277" s="2" t="s">
        <v>10212</v>
      </c>
      <c r="C4277" s="2" t="s">
        <v>26</v>
      </c>
      <c r="D4277" s="2" t="s">
        <v>27</v>
      </c>
      <c r="E4277" s="5">
        <v>-29939</v>
      </c>
      <c r="F4277" s="3" t="s">
        <v>110</v>
      </c>
      <c r="G4277" s="3" t="s">
        <v>45</v>
      </c>
      <c r="H4277" s="2" t="s">
        <v>36</v>
      </c>
      <c r="I4277" s="2" t="s">
        <v>10213</v>
      </c>
      <c r="J4277" s="3" t="str">
        <f>HYPERLINK("https://www.boe.es/gazeta/dias/1818/01/10/pdfs/GMD-1818-5.pdf#page=8","Abrir facsímil")</f>
        <v>Abrir facsímil</v>
      </c>
      <c r="K4277" s="3" t="s">
        <v>38</v>
      </c>
    </row>
    <row r="4278" spans="1:11" ht="42" customHeight="1">
      <c r="A4278" s="2" t="s">
        <v>10214</v>
      </c>
      <c r="B4278" s="2" t="s">
        <v>10215</v>
      </c>
      <c r="C4278" s="2" t="s">
        <v>63</v>
      </c>
      <c r="D4278" s="2" t="s">
        <v>18</v>
      </c>
      <c r="E4278" s="5">
        <v>-29603</v>
      </c>
      <c r="F4278" s="3" t="s">
        <v>647</v>
      </c>
      <c r="G4278" s="3" t="s">
        <v>45</v>
      </c>
      <c r="H4278" s="2" t="s">
        <v>36</v>
      </c>
      <c r="I4278" s="2" t="s">
        <v>10216</v>
      </c>
      <c r="J4278" s="3" t="str">
        <f>HYPERLINK("https://www.boe.es/gazeta/dias/1818/12/12/pdfs/GMD-1818-150.pdf#page=8","Abrir facsímil")</f>
        <v>Abrir facsímil</v>
      </c>
      <c r="K4278" s="3" t="s">
        <v>38</v>
      </c>
    </row>
    <row r="4279" spans="1:11" ht="42" customHeight="1">
      <c r="A4279" s="2" t="s">
        <v>10217</v>
      </c>
      <c r="B4279" s="2" t="s">
        <v>10218</v>
      </c>
      <c r="C4279" s="2" t="s">
        <v>26</v>
      </c>
      <c r="D4279" s="2" t="s">
        <v>27</v>
      </c>
      <c r="E4279" s="5">
        <v>-29932</v>
      </c>
      <c r="F4279" s="3" t="s">
        <v>34</v>
      </c>
      <c r="G4279" s="3" t="s">
        <v>106</v>
      </c>
      <c r="H4279" s="2" t="s">
        <v>36</v>
      </c>
      <c r="I4279" s="2" t="s">
        <v>10219</v>
      </c>
      <c r="J4279" s="3" t="str">
        <f>HYPERLINK("https://www.boe.es/gazeta/dias/1818/01/17/pdfs/GMD-1818-8.pdf#page=5","Abrir facsímil")</f>
        <v>Abrir facsímil</v>
      </c>
      <c r="K4279" s="3" t="s">
        <v>38</v>
      </c>
    </row>
    <row r="4280" spans="1:11" ht="42" customHeight="1">
      <c r="A4280" s="2" t="s">
        <v>10217</v>
      </c>
      <c r="B4280" s="2" t="s">
        <v>10218</v>
      </c>
      <c r="C4280" s="2" t="s">
        <v>26</v>
      </c>
      <c r="D4280" s="2" t="s">
        <v>27</v>
      </c>
      <c r="E4280" s="5">
        <v>-29591</v>
      </c>
      <c r="F4280" s="3" t="s">
        <v>1414</v>
      </c>
      <c r="G4280" s="3" t="s">
        <v>106</v>
      </c>
      <c r="H4280" s="2" t="s">
        <v>36</v>
      </c>
      <c r="I4280" s="2" t="s">
        <v>10220</v>
      </c>
      <c r="J4280" s="3" t="str">
        <f>HYPERLINK("https://www.boe.es/gazeta/dias/1818/12/24/pdfs/GMD-1818-155.pdf#page=5","Abrir facsímil")</f>
        <v>Abrir facsímil</v>
      </c>
      <c r="K4280" s="3" t="s">
        <v>38</v>
      </c>
    </row>
    <row r="4281" spans="1:11" ht="42" customHeight="1">
      <c r="A4281" s="2" t="s">
        <v>10221</v>
      </c>
      <c r="B4281" s="2" t="s">
        <v>10222</v>
      </c>
      <c r="C4281" s="2" t="s">
        <v>26</v>
      </c>
      <c r="D4281" s="2" t="s">
        <v>27</v>
      </c>
      <c r="E4281" s="5">
        <v>-29652</v>
      </c>
      <c r="F4281" s="3" t="s">
        <v>741</v>
      </c>
      <c r="G4281" s="3" t="s">
        <v>45</v>
      </c>
      <c r="H4281" s="2" t="s">
        <v>36</v>
      </c>
      <c r="I4281" s="2" t="s">
        <v>10223</v>
      </c>
      <c r="J4281" s="3" t="str">
        <f>HYPERLINK("https://www.boe.es/gazeta/dias/1818/10/24/pdfs/GMD-1818-129.pdf#page=8","Abrir facsímil")</f>
        <v>Abrir facsímil</v>
      </c>
      <c r="K4281" s="3" t="s">
        <v>38</v>
      </c>
    </row>
    <row r="4282" spans="1:11" ht="42" customHeight="1">
      <c r="A4282" s="2" t="s">
        <v>10224</v>
      </c>
      <c r="B4282" s="2" t="s">
        <v>10224</v>
      </c>
      <c r="C4282" s="2" t="s">
        <v>26</v>
      </c>
      <c r="D4282" s="2" t="s">
        <v>27</v>
      </c>
      <c r="E4282" s="5">
        <v>-29593</v>
      </c>
      <c r="F4282" s="3" t="s">
        <v>185</v>
      </c>
      <c r="G4282" s="3" t="s">
        <v>85</v>
      </c>
      <c r="H4282" s="2" t="s">
        <v>36</v>
      </c>
      <c r="I4282" s="2" t="s">
        <v>10225</v>
      </c>
      <c r="J4282" s="3" t="str">
        <f>HYPERLINK("https://www.boe.es/gazeta/dias/1818/12/22/pdfs/GMD-1818-154.pdf#page=3","Abrir facsímil")</f>
        <v>Abrir facsímil</v>
      </c>
      <c r="K4282" s="3" t="s">
        <v>38</v>
      </c>
    </row>
    <row r="4283" spans="1:11" ht="42" customHeight="1">
      <c r="A4283" s="2" t="s">
        <v>10226</v>
      </c>
      <c r="B4283" s="2" t="s">
        <v>10226</v>
      </c>
      <c r="C4283" s="2" t="s">
        <v>68</v>
      </c>
      <c r="D4283" s="2" t="s">
        <v>69</v>
      </c>
      <c r="E4283" s="5">
        <v>-29638</v>
      </c>
      <c r="F4283" s="3" t="s">
        <v>307</v>
      </c>
      <c r="G4283" s="3" t="s">
        <v>45</v>
      </c>
      <c r="H4283" s="2" t="s">
        <v>36</v>
      </c>
      <c r="I4283" s="2" t="s">
        <v>10227</v>
      </c>
      <c r="J4283" s="3" t="str">
        <f>HYPERLINK("https://www.boe.es/gazeta/dias/1818/11/07/pdfs/GMD-1818-135.pdf#page=8","Abrir facsímil")</f>
        <v>Abrir facsímil</v>
      </c>
      <c r="K4283" s="3" t="s">
        <v>38</v>
      </c>
    </row>
    <row r="4284" spans="1:11" ht="42" customHeight="1">
      <c r="A4284" s="2" t="s">
        <v>10228</v>
      </c>
      <c r="B4284" s="2" t="s">
        <v>10228</v>
      </c>
      <c r="C4284" s="2" t="s">
        <v>57</v>
      </c>
      <c r="D4284" s="2" t="s">
        <v>18</v>
      </c>
      <c r="E4284" s="5">
        <v>-29799</v>
      </c>
      <c r="F4284" s="3" t="s">
        <v>135</v>
      </c>
      <c r="G4284" s="3" t="s">
        <v>136</v>
      </c>
      <c r="H4284" s="2" t="s">
        <v>36</v>
      </c>
      <c r="I4284" s="2" t="s">
        <v>10229</v>
      </c>
      <c r="J4284" s="3" t="str">
        <f>HYPERLINK("https://www.boe.es/gazeta/dias/1818/05/30/pdfs/GMD-1818-65.pdf#page=5","Abrir facsímil")</f>
        <v>Abrir facsímil</v>
      </c>
      <c r="K4284" s="3" t="s">
        <v>38</v>
      </c>
    </row>
    <row r="4285" spans="1:11" ht="42" customHeight="1">
      <c r="A4285" s="2" t="s">
        <v>10228</v>
      </c>
      <c r="B4285" s="2" t="s">
        <v>10228</v>
      </c>
      <c r="C4285" s="2" t="s">
        <v>68</v>
      </c>
      <c r="D4285" s="2" t="s">
        <v>69</v>
      </c>
      <c r="E4285" s="5">
        <v>-29778</v>
      </c>
      <c r="F4285" s="3" t="s">
        <v>239</v>
      </c>
      <c r="G4285" s="3" t="s">
        <v>20</v>
      </c>
      <c r="H4285" s="2" t="s">
        <v>36</v>
      </c>
      <c r="I4285" s="2" t="s">
        <v>10230</v>
      </c>
      <c r="J4285" s="3" t="str">
        <f>HYPERLINK("https://www.boe.es/gazeta/dias/1818/06/20/pdfs/GMD-1818-74.pdf#page=7","Abrir facsímil")</f>
        <v>Abrir facsímil</v>
      </c>
      <c r="K4285" s="3" t="s">
        <v>38</v>
      </c>
    </row>
    <row r="4286" spans="1:11" ht="42" customHeight="1">
      <c r="A4286" s="2" t="s">
        <v>10231</v>
      </c>
      <c r="B4286" s="2" t="s">
        <v>10232</v>
      </c>
      <c r="C4286" s="2" t="s">
        <v>26</v>
      </c>
      <c r="D4286" s="2" t="s">
        <v>27</v>
      </c>
      <c r="E4286" s="5">
        <v>-29897</v>
      </c>
      <c r="F4286" s="3" t="s">
        <v>318</v>
      </c>
      <c r="G4286" s="3" t="s">
        <v>59</v>
      </c>
      <c r="H4286" s="2" t="s">
        <v>36</v>
      </c>
      <c r="I4286" s="2" t="s">
        <v>10233</v>
      </c>
      <c r="J4286" s="3" t="str">
        <f>HYPERLINK("https://www.boe.es/gazeta/dias/1818/02/21/pdfs/GMD-1818-23.pdf#page=6","Abrir facsímil")</f>
        <v>Abrir facsímil</v>
      </c>
      <c r="K4286" s="3" t="s">
        <v>38</v>
      </c>
    </row>
    <row r="4287" spans="1:11" ht="42" customHeight="1">
      <c r="A4287" s="2" t="s">
        <v>10231</v>
      </c>
      <c r="B4287" s="2" t="s">
        <v>10232</v>
      </c>
      <c r="C4287" s="2" t="s">
        <v>26</v>
      </c>
      <c r="D4287" s="2" t="s">
        <v>27</v>
      </c>
      <c r="E4287" s="5">
        <v>-29897</v>
      </c>
      <c r="F4287" s="3" t="s">
        <v>318</v>
      </c>
      <c r="G4287" s="3" t="s">
        <v>20</v>
      </c>
      <c r="H4287" s="2" t="s">
        <v>36</v>
      </c>
      <c r="I4287" s="2" t="s">
        <v>10234</v>
      </c>
      <c r="J4287" s="3" t="str">
        <f>HYPERLINK("https://www.boe.es/gazeta/dias/1818/02/21/pdfs/GMD-1818-23.pdf#page=7","Abrir facsímil")</f>
        <v>Abrir facsímil</v>
      </c>
      <c r="K4287" s="3" t="s">
        <v>38</v>
      </c>
    </row>
    <row r="4288" spans="1:11" ht="42" customHeight="1">
      <c r="A4288" s="2" t="s">
        <v>10235</v>
      </c>
      <c r="B4288" s="2" t="s">
        <v>10236</v>
      </c>
      <c r="C4288" s="2" t="s">
        <v>26</v>
      </c>
      <c r="D4288" s="2" t="s">
        <v>27</v>
      </c>
      <c r="E4288" s="5">
        <v>-29684</v>
      </c>
      <c r="F4288" s="3" t="s">
        <v>311</v>
      </c>
      <c r="G4288" s="3" t="s">
        <v>20</v>
      </c>
      <c r="H4288" s="2" t="s">
        <v>36</v>
      </c>
      <c r="I4288" s="2" t="s">
        <v>10237</v>
      </c>
      <c r="J4288" s="3" t="str">
        <f>HYPERLINK("https://www.boe.es/gazeta/dias/1818/09/22/pdfs/GMD-1818-114.pdf#page=7","Abrir facsímil")</f>
        <v>Abrir facsímil</v>
      </c>
      <c r="K4288" s="3" t="s">
        <v>38</v>
      </c>
    </row>
    <row r="4289" spans="1:11" ht="42" customHeight="1">
      <c r="A4289" s="2" t="s">
        <v>10238</v>
      </c>
      <c r="B4289" s="2" t="s">
        <v>10239</v>
      </c>
      <c r="C4289" s="2" t="s">
        <v>63</v>
      </c>
      <c r="D4289" s="2" t="s">
        <v>18</v>
      </c>
      <c r="E4289" s="5">
        <v>-29904</v>
      </c>
      <c r="F4289" s="3" t="s">
        <v>451</v>
      </c>
      <c r="G4289" s="3" t="s">
        <v>45</v>
      </c>
      <c r="H4289" s="2" t="s">
        <v>21</v>
      </c>
      <c r="I4289" s="2" t="s">
        <v>10240</v>
      </c>
      <c r="J4289" s="3" t="str">
        <f>HYPERLINK("https://www.boe.es/gazeta/dias/1818/02/14/pdfs/GMD-1818-20.pdf#page=8","Abrir facsímil")</f>
        <v>Abrir facsímil</v>
      </c>
      <c r="K4289" s="3" t="s">
        <v>23</v>
      </c>
    </row>
    <row r="4290" spans="1:11" ht="42" customHeight="1">
      <c r="A4290" s="2" t="s">
        <v>10241</v>
      </c>
      <c r="B4290" s="2" t="s">
        <v>10241</v>
      </c>
      <c r="C4290" s="2" t="s">
        <v>33</v>
      </c>
      <c r="D4290" s="2" t="s">
        <v>18</v>
      </c>
      <c r="E4290" s="5">
        <v>-29841</v>
      </c>
      <c r="F4290" s="3" t="s">
        <v>19</v>
      </c>
      <c r="G4290" s="3" t="s">
        <v>45</v>
      </c>
      <c r="H4290" s="2" t="s">
        <v>36</v>
      </c>
      <c r="I4290" s="2" t="s">
        <v>10242</v>
      </c>
      <c r="J4290" s="3" t="str">
        <f>HYPERLINK("https://www.boe.es/gazeta/dias/1818/04/18/pdfs/GMD-1818-47.pdf#page=8","Abrir facsímil")</f>
        <v>Abrir facsímil</v>
      </c>
      <c r="K4290" s="3" t="s">
        <v>38</v>
      </c>
    </row>
    <row r="4291" spans="1:11" ht="42" customHeight="1">
      <c r="A4291" s="2" t="s">
        <v>10241</v>
      </c>
      <c r="B4291" s="2" t="s">
        <v>10241</v>
      </c>
      <c r="C4291" s="2" t="s">
        <v>26</v>
      </c>
      <c r="D4291" s="2" t="s">
        <v>27</v>
      </c>
      <c r="E4291" s="5">
        <v>-29817</v>
      </c>
      <c r="F4291" s="3" t="s">
        <v>284</v>
      </c>
      <c r="G4291" s="3" t="s">
        <v>20</v>
      </c>
      <c r="H4291" s="2" t="s">
        <v>36</v>
      </c>
      <c r="I4291" s="2" t="s">
        <v>10243</v>
      </c>
      <c r="J4291" s="3" t="str">
        <f>HYPERLINK("https://www.boe.es/gazeta/dias/1818/05/12/pdfs/GMD-1818-57.pdf#page=7","Abrir facsímil")</f>
        <v>Abrir facsímil</v>
      </c>
      <c r="K4291" s="3" t="s">
        <v>38</v>
      </c>
    </row>
    <row r="4292" spans="1:11" ht="42" customHeight="1">
      <c r="A4292" s="2" t="s">
        <v>10244</v>
      </c>
      <c r="B4292" s="2" t="s">
        <v>10245</v>
      </c>
      <c r="C4292" s="2" t="s">
        <v>17</v>
      </c>
      <c r="D4292" s="2" t="s">
        <v>18</v>
      </c>
      <c r="E4292" s="5">
        <v>-29584</v>
      </c>
      <c r="F4292" s="3" t="s">
        <v>1002</v>
      </c>
      <c r="G4292" s="3" t="s">
        <v>59</v>
      </c>
      <c r="H4292" s="2" t="s">
        <v>36</v>
      </c>
      <c r="I4292" s="2" t="s">
        <v>10246</v>
      </c>
      <c r="J4292" s="3" t="str">
        <f>HYPERLINK("https://www.boe.es/gazeta/dias/1818/12/31/pdfs/GMD-1818-159.pdf#page=6","Abrir facsímil")</f>
        <v>Abrir facsímil</v>
      </c>
      <c r="K4292" s="3" t="s">
        <v>38</v>
      </c>
    </row>
    <row r="4293" spans="1:11" ht="42" customHeight="1">
      <c r="A4293" s="2" t="s">
        <v>10247</v>
      </c>
      <c r="B4293" s="2" t="s">
        <v>10247</v>
      </c>
      <c r="C4293" s="2" t="s">
        <v>17</v>
      </c>
      <c r="D4293" s="2" t="s">
        <v>18</v>
      </c>
      <c r="E4293" s="5">
        <v>-29698</v>
      </c>
      <c r="F4293" s="3" t="s">
        <v>148</v>
      </c>
      <c r="G4293" s="3" t="s">
        <v>29</v>
      </c>
      <c r="H4293" s="2" t="s">
        <v>36</v>
      </c>
      <c r="I4293" s="2" t="s">
        <v>10248</v>
      </c>
      <c r="J4293" s="3" t="str">
        <f>HYPERLINK("https://www.boe.es/gazeta/dias/1818/09/08/pdfs/GMD-1818-108.pdf#page=4","Abrir facsímil")</f>
        <v>Abrir facsímil</v>
      </c>
      <c r="K4293" s="3" t="s">
        <v>38</v>
      </c>
    </row>
    <row r="4294" spans="1:11" ht="42" customHeight="1">
      <c r="A4294" s="2" t="s">
        <v>10249</v>
      </c>
      <c r="B4294" s="2" t="s">
        <v>10250</v>
      </c>
      <c r="C4294" s="2" t="s">
        <v>26</v>
      </c>
      <c r="D4294" s="2" t="s">
        <v>27</v>
      </c>
      <c r="E4294" s="5">
        <v>-29752</v>
      </c>
      <c r="F4294" s="3" t="s">
        <v>165</v>
      </c>
      <c r="G4294" s="3" t="s">
        <v>106</v>
      </c>
      <c r="H4294" s="2" t="s">
        <v>36</v>
      </c>
      <c r="I4294" s="2" t="s">
        <v>10251</v>
      </c>
      <c r="J4294" s="3" t="str">
        <f>HYPERLINK("https://www.boe.es/gazeta/dias/1818/07/16/pdfs/GMD-1818-85.pdf#page=5","Abrir facsímil")</f>
        <v>Abrir facsímil</v>
      </c>
      <c r="K4294" s="3" t="s">
        <v>38</v>
      </c>
    </row>
    <row r="4295" spans="1:11" ht="42" customHeight="1">
      <c r="A4295" s="2" t="s">
        <v>10252</v>
      </c>
      <c r="B4295" s="2" t="s">
        <v>10253</v>
      </c>
      <c r="C4295" s="2" t="s">
        <v>68</v>
      </c>
      <c r="D4295" s="2" t="s">
        <v>69</v>
      </c>
      <c r="E4295" s="5">
        <v>-29906</v>
      </c>
      <c r="F4295" s="3" t="s">
        <v>28</v>
      </c>
      <c r="G4295" s="3" t="s">
        <v>45</v>
      </c>
      <c r="H4295" s="2" t="s">
        <v>36</v>
      </c>
      <c r="I4295" s="2" t="s">
        <v>10254</v>
      </c>
      <c r="J4295" s="3" t="str">
        <f>HYPERLINK("https://www.boe.es/gazeta/dias/1818/02/12/pdfs/GMD-1818-19.pdf#page=8","Abrir facsímil")</f>
        <v>Abrir facsímil</v>
      </c>
      <c r="K4295" s="3" t="s">
        <v>38</v>
      </c>
    </row>
    <row r="4296" spans="1:11" ht="42" customHeight="1">
      <c r="A4296" s="2" t="s">
        <v>10252</v>
      </c>
      <c r="B4296" s="2" t="s">
        <v>10253</v>
      </c>
      <c r="C4296" s="2" t="s">
        <v>68</v>
      </c>
      <c r="D4296" s="2" t="s">
        <v>69</v>
      </c>
      <c r="E4296" s="5">
        <v>-29834</v>
      </c>
      <c r="F4296" s="3" t="s">
        <v>457</v>
      </c>
      <c r="G4296" s="3" t="s">
        <v>458</v>
      </c>
      <c r="H4296" s="2" t="s">
        <v>36</v>
      </c>
      <c r="I4296" s="2" t="s">
        <v>10255</v>
      </c>
      <c r="J4296" s="3" t="str">
        <f>HYPERLINK("https://www.boe.es/gazeta/dias/1818/04/25/pdfs/GMD-1818-50.pdf#page=8","Abrir facsímil")</f>
        <v>Abrir facsímil</v>
      </c>
      <c r="K4296" s="3" t="s">
        <v>38</v>
      </c>
    </row>
    <row r="4297" spans="1:11" ht="42" customHeight="1">
      <c r="A4297" s="2" t="s">
        <v>10252</v>
      </c>
      <c r="B4297" s="2" t="s">
        <v>10253</v>
      </c>
      <c r="C4297" s="2" t="s">
        <v>68</v>
      </c>
      <c r="D4297" s="2" t="s">
        <v>69</v>
      </c>
      <c r="E4297" s="5">
        <v>-29785</v>
      </c>
      <c r="F4297" s="3" t="s">
        <v>1031</v>
      </c>
      <c r="G4297" s="3" t="s">
        <v>45</v>
      </c>
      <c r="H4297" s="2" t="s">
        <v>36</v>
      </c>
      <c r="I4297" s="2" t="s">
        <v>10256</v>
      </c>
      <c r="J4297" s="3" t="str">
        <f>HYPERLINK("https://www.boe.es/gazeta/dias/1818/06/13/pdfs/GMD-1818-71.pdf#page=8","Abrir facsímil")</f>
        <v>Abrir facsímil</v>
      </c>
      <c r="K4297" s="3" t="s">
        <v>38</v>
      </c>
    </row>
    <row r="4298" spans="1:11" ht="42" customHeight="1">
      <c r="A4298" s="2" t="s">
        <v>10252</v>
      </c>
      <c r="B4298" s="2" t="s">
        <v>10253</v>
      </c>
      <c r="C4298" s="2" t="s">
        <v>68</v>
      </c>
      <c r="D4298" s="2" t="s">
        <v>69</v>
      </c>
      <c r="E4298" s="5">
        <v>-29740</v>
      </c>
      <c r="F4298" s="3" t="s">
        <v>152</v>
      </c>
      <c r="G4298" s="3" t="s">
        <v>45</v>
      </c>
      <c r="H4298" s="2" t="s">
        <v>36</v>
      </c>
      <c r="I4298" s="2" t="s">
        <v>10257</v>
      </c>
      <c r="J4298" s="3" t="str">
        <f>HYPERLINK("https://www.boe.es/gazeta/dias/1818/07/28/pdfs/GMD-1818-90.pdf#page=8","Abrir facsímil")</f>
        <v>Abrir facsímil</v>
      </c>
      <c r="K4298" s="3" t="s">
        <v>38</v>
      </c>
    </row>
    <row r="4299" spans="1:11" ht="42" customHeight="1">
      <c r="A4299" s="2" t="s">
        <v>10252</v>
      </c>
      <c r="B4299" s="2" t="s">
        <v>10253</v>
      </c>
      <c r="C4299" s="2" t="s">
        <v>68</v>
      </c>
      <c r="D4299" s="2" t="s">
        <v>69</v>
      </c>
      <c r="E4299" s="5">
        <v>-29610</v>
      </c>
      <c r="F4299" s="3" t="s">
        <v>1441</v>
      </c>
      <c r="G4299" s="3" t="s">
        <v>45</v>
      </c>
      <c r="H4299" s="2" t="s">
        <v>36</v>
      </c>
      <c r="I4299" s="2" t="s">
        <v>10258</v>
      </c>
      <c r="J4299" s="3" t="str">
        <f>HYPERLINK("https://www.boe.es/gazeta/dias/1818/12/05/pdfs/GMD-1818-147.pdf#page=8","Abrir facsímil")</f>
        <v>Abrir facsímil</v>
      </c>
      <c r="K4299" s="3" t="s">
        <v>38</v>
      </c>
    </row>
    <row r="4300" spans="1:11" ht="42" customHeight="1">
      <c r="A4300" s="2" t="s">
        <v>10259</v>
      </c>
      <c r="B4300" s="2" t="s">
        <v>10260</v>
      </c>
      <c r="C4300" s="2" t="s">
        <v>17</v>
      </c>
      <c r="D4300" s="2" t="s">
        <v>18</v>
      </c>
      <c r="E4300" s="5">
        <v>-29624</v>
      </c>
      <c r="F4300" s="3" t="s">
        <v>131</v>
      </c>
      <c r="G4300" s="3" t="s">
        <v>20</v>
      </c>
      <c r="H4300" s="2" t="s">
        <v>36</v>
      </c>
      <c r="I4300" s="2" t="s">
        <v>10261</v>
      </c>
      <c r="J4300" s="3" t="str">
        <f>HYPERLINK("https://www.boe.es/gazeta/dias/1818/11/21/pdfs/GMD-1818-141.pdf#page=7","Abrir facsímil")</f>
        <v>Abrir facsímil</v>
      </c>
      <c r="K4300" s="3" t="s">
        <v>38</v>
      </c>
    </row>
    <row r="4301" spans="1:11" ht="42" customHeight="1">
      <c r="A4301" s="2" t="s">
        <v>10262</v>
      </c>
      <c r="B4301" s="2" t="s">
        <v>10263</v>
      </c>
      <c r="C4301" s="2" t="s">
        <v>26</v>
      </c>
      <c r="D4301" s="2" t="s">
        <v>27</v>
      </c>
      <c r="E4301" s="5">
        <v>-29901</v>
      </c>
      <c r="F4301" s="3" t="s">
        <v>417</v>
      </c>
      <c r="G4301" s="3" t="s">
        <v>59</v>
      </c>
      <c r="H4301" s="2" t="s">
        <v>36</v>
      </c>
      <c r="I4301" s="2" t="s">
        <v>10264</v>
      </c>
      <c r="J4301" s="3" t="str">
        <f>HYPERLINK("https://www.boe.es/gazeta/dias/1818/02/17/pdfs/GMD-1818-21.pdf#page=6","Abrir facsímil")</f>
        <v>Abrir facsímil</v>
      </c>
      <c r="K4301" s="3" t="s">
        <v>38</v>
      </c>
    </row>
    <row r="4302" spans="1:11" ht="42" customHeight="1">
      <c r="A4302" s="2" t="s">
        <v>10265</v>
      </c>
      <c r="B4302" s="2" t="s">
        <v>10266</v>
      </c>
      <c r="C4302" s="2" t="s">
        <v>17</v>
      </c>
      <c r="D4302" s="2" t="s">
        <v>18</v>
      </c>
      <c r="E4302" s="5">
        <v>-29675</v>
      </c>
      <c r="F4302" s="3" t="s">
        <v>2314</v>
      </c>
      <c r="G4302" s="3" t="s">
        <v>45</v>
      </c>
      <c r="H4302" s="2" t="s">
        <v>36</v>
      </c>
      <c r="I4302" s="2" t="s">
        <v>10267</v>
      </c>
      <c r="J4302" s="3" t="str">
        <f>HYPERLINK("https://www.boe.es/gazeta/dias/1818/10/01/pdfs/GMD-1818-118.pdf#page=8","Abrir facsímil")</f>
        <v>Abrir facsímil</v>
      </c>
      <c r="K4302" s="3" t="s">
        <v>38</v>
      </c>
    </row>
    <row r="4303" spans="1:11" ht="42" customHeight="1">
      <c r="A4303" s="2" t="s">
        <v>10268</v>
      </c>
      <c r="B4303" s="2" t="s">
        <v>10269</v>
      </c>
      <c r="C4303" s="2" t="s">
        <v>26</v>
      </c>
      <c r="D4303" s="2" t="s">
        <v>27</v>
      </c>
      <c r="E4303" s="5">
        <v>-29913</v>
      </c>
      <c r="F4303" s="3" t="s">
        <v>449</v>
      </c>
      <c r="G4303" s="3" t="s">
        <v>59</v>
      </c>
      <c r="H4303" s="2" t="s">
        <v>36</v>
      </c>
      <c r="I4303" s="2" t="s">
        <v>10270</v>
      </c>
      <c r="J4303" s="3" t="str">
        <f>HYPERLINK("https://www.boe.es/gazeta/dias/1818/02/05/pdfs/GMD-1818-16.pdf#page=6","Abrir facsímil")</f>
        <v>Abrir facsímil</v>
      </c>
      <c r="K4303" s="3" t="s">
        <v>38</v>
      </c>
    </row>
    <row r="4304" spans="1:11" ht="42" customHeight="1">
      <c r="A4304" s="2" t="s">
        <v>10271</v>
      </c>
      <c r="B4304" s="2" t="s">
        <v>10272</v>
      </c>
      <c r="C4304" s="2" t="s">
        <v>26</v>
      </c>
      <c r="D4304" s="2" t="s">
        <v>27</v>
      </c>
      <c r="E4304" s="5">
        <v>-29717</v>
      </c>
      <c r="F4304" s="3" t="s">
        <v>1644</v>
      </c>
      <c r="G4304" s="3" t="s">
        <v>20</v>
      </c>
      <c r="H4304" s="2" t="s">
        <v>36</v>
      </c>
      <c r="I4304" s="2" t="s">
        <v>10273</v>
      </c>
      <c r="J4304" s="3" t="str">
        <f>HYPERLINK("https://www.boe.es/gazeta/dias/1818/08/20/pdfs/GMD-1818-100.pdf#page=7","Abrir facsímil")</f>
        <v>Abrir facsímil</v>
      </c>
      <c r="K4304" s="3" t="s">
        <v>38</v>
      </c>
    </row>
    <row r="4305" spans="1:11" ht="42" customHeight="1">
      <c r="A4305" s="2" t="s">
        <v>10274</v>
      </c>
      <c r="B4305" s="2" t="s">
        <v>10275</v>
      </c>
      <c r="C4305" s="2" t="s">
        <v>913</v>
      </c>
      <c r="D4305" s="2" t="s">
        <v>69</v>
      </c>
      <c r="E4305" s="5">
        <v>-29661</v>
      </c>
      <c r="F4305" s="3" t="s">
        <v>348</v>
      </c>
      <c r="G4305" s="3" t="s">
        <v>2123</v>
      </c>
      <c r="H4305" s="2" t="s">
        <v>21</v>
      </c>
      <c r="I4305" s="2" t="s">
        <v>10276</v>
      </c>
      <c r="J4305" s="3" t="str">
        <f>HYPERLINK("https://www.boe.es/gazeta/dias/1818/10/15/pdfs/GMD-1818-124.pdf#page=5","Abrir facsímil")</f>
        <v>Abrir facsímil</v>
      </c>
      <c r="K4305" s="3" t="s">
        <v>23</v>
      </c>
    </row>
    <row r="4306" spans="1:11" ht="42" customHeight="1">
      <c r="A4306" s="2" t="s">
        <v>10277</v>
      </c>
      <c r="B4306" s="2" t="s">
        <v>10278</v>
      </c>
      <c r="C4306" s="2" t="s">
        <v>57</v>
      </c>
      <c r="D4306" s="2" t="s">
        <v>18</v>
      </c>
      <c r="E4306" s="5">
        <v>-29932</v>
      </c>
      <c r="F4306" s="3" t="s">
        <v>34</v>
      </c>
      <c r="G4306" s="3" t="s">
        <v>106</v>
      </c>
      <c r="H4306" s="2" t="s">
        <v>36</v>
      </c>
      <c r="I4306" s="2" t="s">
        <v>10279</v>
      </c>
      <c r="J4306" s="3" t="str">
        <f>HYPERLINK("https://www.boe.es/gazeta/dias/1818/01/17/pdfs/GMD-1818-8.pdf#page=5","Abrir facsímil")</f>
        <v>Abrir facsímil</v>
      </c>
      <c r="K4306" s="3" t="s">
        <v>38</v>
      </c>
    </row>
    <row r="4307" spans="1:11" ht="42" customHeight="1">
      <c r="A4307" s="2" t="s">
        <v>10280</v>
      </c>
      <c r="B4307" s="2" t="s">
        <v>10281</v>
      </c>
      <c r="C4307" s="2" t="s">
        <v>33</v>
      </c>
      <c r="D4307" s="2" t="s">
        <v>18</v>
      </c>
      <c r="E4307" s="5">
        <v>-29932</v>
      </c>
      <c r="F4307" s="3" t="s">
        <v>34</v>
      </c>
      <c r="G4307" s="3" t="s">
        <v>35</v>
      </c>
      <c r="H4307" s="2" t="s">
        <v>36</v>
      </c>
      <c r="I4307" s="2" t="s">
        <v>10282</v>
      </c>
      <c r="J4307" s="3" t="str">
        <f>HYPERLINK("https://www.boe.es/gazeta/dias/1818/01/17/pdfs/GMD-1818-8.pdf#page=8","Abrir facsímil")</f>
        <v>Abrir facsímil</v>
      </c>
      <c r="K4307" s="3" t="s">
        <v>38</v>
      </c>
    </row>
    <row r="4308" spans="1:11" ht="42" customHeight="1">
      <c r="A4308" s="2" t="s">
        <v>10283</v>
      </c>
      <c r="B4308" s="2" t="s">
        <v>10284</v>
      </c>
      <c r="C4308" s="2" t="s">
        <v>17</v>
      </c>
      <c r="D4308" s="2" t="s">
        <v>18</v>
      </c>
      <c r="E4308" s="5">
        <v>-29635</v>
      </c>
      <c r="F4308" s="3" t="s">
        <v>560</v>
      </c>
      <c r="G4308" s="3" t="s">
        <v>20</v>
      </c>
      <c r="H4308" s="2" t="s">
        <v>21</v>
      </c>
      <c r="I4308" s="2" t="s">
        <v>10285</v>
      </c>
      <c r="J4308" s="3" t="str">
        <f>HYPERLINK("https://www.boe.es/gazeta/dias/1818/11/10/pdfs/GMD-1818-136.pdf#page=7","Abrir facsímil")</f>
        <v>Abrir facsímil</v>
      </c>
      <c r="K4308" s="3" t="s">
        <v>23</v>
      </c>
    </row>
    <row r="4309" spans="1:11" ht="42" customHeight="1">
      <c r="A4309" s="2" t="s">
        <v>10286</v>
      </c>
      <c r="B4309" s="2" t="s">
        <v>10287</v>
      </c>
      <c r="C4309" s="2" t="s">
        <v>26</v>
      </c>
      <c r="D4309" s="2" t="s">
        <v>27</v>
      </c>
      <c r="E4309" s="5">
        <v>-29934</v>
      </c>
      <c r="F4309" s="3" t="s">
        <v>53</v>
      </c>
      <c r="G4309" s="3" t="s">
        <v>59</v>
      </c>
      <c r="H4309" s="2" t="s">
        <v>21</v>
      </c>
      <c r="I4309" s="2" t="s">
        <v>10288</v>
      </c>
      <c r="J4309" s="3" t="str">
        <f>HYPERLINK("https://www.boe.es/gazeta/dias/1818/01/15/pdfs/GMD-1818-7.pdf#page=6","Abrir facsímil")</f>
        <v>Abrir facsímil</v>
      </c>
      <c r="K4309" s="3" t="s">
        <v>23</v>
      </c>
    </row>
    <row r="4310" spans="1:11" ht="42" customHeight="1">
      <c r="A4310" s="2" t="s">
        <v>10289</v>
      </c>
      <c r="B4310" s="2" t="s">
        <v>10290</v>
      </c>
      <c r="C4310" s="2" t="s">
        <v>26</v>
      </c>
      <c r="D4310" s="2" t="s">
        <v>27</v>
      </c>
      <c r="E4310" s="5">
        <v>-29934</v>
      </c>
      <c r="F4310" s="3" t="s">
        <v>53</v>
      </c>
      <c r="G4310" s="3" t="s">
        <v>106</v>
      </c>
      <c r="H4310" s="2" t="s">
        <v>36</v>
      </c>
      <c r="I4310" s="2" t="s">
        <v>10291</v>
      </c>
      <c r="J4310" s="3" t="str">
        <f>HYPERLINK("https://www.boe.es/gazeta/dias/1818/01/15/pdfs/GMD-1818-7.pdf#page=5","Abrir facsímil")</f>
        <v>Abrir facsímil</v>
      </c>
      <c r="K4310" s="3" t="s">
        <v>38</v>
      </c>
    </row>
    <row r="4311" spans="1:11" ht="42" customHeight="1">
      <c r="A4311" s="2" t="s">
        <v>10292</v>
      </c>
      <c r="B4311" s="2" t="s">
        <v>10293</v>
      </c>
      <c r="C4311" s="2" t="s">
        <v>68</v>
      </c>
      <c r="D4311" s="2" t="s">
        <v>69</v>
      </c>
      <c r="E4311" s="5">
        <v>-29936</v>
      </c>
      <c r="F4311" s="3" t="s">
        <v>398</v>
      </c>
      <c r="G4311" s="3" t="s">
        <v>20</v>
      </c>
      <c r="H4311" s="2" t="s">
        <v>36</v>
      </c>
      <c r="I4311" s="2" t="s">
        <v>10294</v>
      </c>
      <c r="J4311" s="3" t="str">
        <f>HYPERLINK("https://www.boe.es/gazeta/dias/1818/01/13/pdfs/GMD-1818-6.pdf#page=7","Abrir facsímil")</f>
        <v>Abrir facsímil</v>
      </c>
      <c r="K4311" s="3" t="s">
        <v>38</v>
      </c>
    </row>
    <row r="4312" spans="1:11" ht="42" customHeight="1">
      <c r="A4312" s="2" t="s">
        <v>10295</v>
      </c>
      <c r="B4312" s="2" t="s">
        <v>10296</v>
      </c>
      <c r="C4312" s="2" t="s">
        <v>26</v>
      </c>
      <c r="D4312" s="2" t="s">
        <v>27</v>
      </c>
      <c r="E4312" s="5">
        <v>-29890</v>
      </c>
      <c r="F4312" s="3" t="s">
        <v>393</v>
      </c>
      <c r="G4312" s="3" t="s">
        <v>4435</v>
      </c>
      <c r="H4312" s="2" t="s">
        <v>36</v>
      </c>
      <c r="I4312" s="2" t="s">
        <v>10297</v>
      </c>
      <c r="J4312" s="3" t="str">
        <f>HYPERLINK("https://www.boe.es/gazeta/dias/1818/02/28/pdfs/GMD-1818-26.pdf#page=4","Abrir facsímil")</f>
        <v>Abrir facsímil</v>
      </c>
      <c r="K4312" s="3" t="s">
        <v>38</v>
      </c>
    </row>
    <row r="4313" spans="1:11" ht="42" customHeight="1">
      <c r="A4313" s="2" t="s">
        <v>10298</v>
      </c>
      <c r="B4313" s="2" t="s">
        <v>10299</v>
      </c>
      <c r="C4313" s="2" t="s">
        <v>26</v>
      </c>
      <c r="D4313" s="2" t="s">
        <v>27</v>
      </c>
      <c r="E4313" s="5">
        <v>-29939</v>
      </c>
      <c r="F4313" s="3" t="s">
        <v>110</v>
      </c>
      <c r="G4313" s="3" t="s">
        <v>9682</v>
      </c>
      <c r="H4313" s="2" t="s">
        <v>36</v>
      </c>
      <c r="I4313" s="2" t="s">
        <v>10300</v>
      </c>
      <c r="J4313" s="3" t="str">
        <f>HYPERLINK("https://www.boe.es/gazeta/dias/1818/01/10/pdfs/GMD-1818-5.pdf#page=6","Abrir facsímil")</f>
        <v>Abrir facsímil</v>
      </c>
      <c r="K4313" s="3" t="s">
        <v>38</v>
      </c>
    </row>
    <row r="4314" spans="1:11" ht="42" customHeight="1">
      <c r="A4314" s="2" t="s">
        <v>10301</v>
      </c>
      <c r="B4314" s="2" t="s">
        <v>10302</v>
      </c>
      <c r="C4314" s="2" t="s">
        <v>26</v>
      </c>
      <c r="D4314" s="2" t="s">
        <v>27</v>
      </c>
      <c r="E4314" s="5">
        <v>-29764</v>
      </c>
      <c r="F4314" s="3" t="s">
        <v>464</v>
      </c>
      <c r="G4314" s="3" t="s">
        <v>106</v>
      </c>
      <c r="H4314" s="2" t="s">
        <v>21</v>
      </c>
      <c r="I4314" s="2" t="s">
        <v>10303</v>
      </c>
      <c r="J4314" s="3" t="str">
        <f>HYPERLINK("https://www.boe.es/gazeta/dias/1818/07/04/pdfs/GMD-1818-80.pdf#page=5","Abrir facsímil")</f>
        <v>Abrir facsímil</v>
      </c>
      <c r="K4314" s="3" t="s">
        <v>23</v>
      </c>
    </row>
    <row r="4315" spans="1:11" ht="42" customHeight="1">
      <c r="A4315" s="2" t="s">
        <v>10304</v>
      </c>
      <c r="B4315" s="2" t="s">
        <v>10305</v>
      </c>
      <c r="C4315" s="2" t="s">
        <v>17</v>
      </c>
      <c r="D4315" s="2" t="s">
        <v>18</v>
      </c>
      <c r="E4315" s="5">
        <v>-29684</v>
      </c>
      <c r="F4315" s="3" t="s">
        <v>311</v>
      </c>
      <c r="G4315" s="3" t="s">
        <v>20</v>
      </c>
      <c r="H4315" s="2" t="s">
        <v>36</v>
      </c>
      <c r="I4315" s="2" t="s">
        <v>10306</v>
      </c>
      <c r="J4315" s="3" t="str">
        <f>HYPERLINK("https://www.boe.es/gazeta/dias/1818/09/22/pdfs/GMD-1818-114.pdf#page=7","Abrir facsímil")</f>
        <v>Abrir facsímil</v>
      </c>
      <c r="K4315" s="3" t="s">
        <v>38</v>
      </c>
    </row>
    <row r="4316" spans="1:11" ht="42" customHeight="1">
      <c r="A4316" s="2" t="s">
        <v>10307</v>
      </c>
      <c r="B4316" s="2" t="s">
        <v>10308</v>
      </c>
      <c r="C4316" s="2" t="s">
        <v>17</v>
      </c>
      <c r="D4316" s="2" t="s">
        <v>18</v>
      </c>
      <c r="E4316" s="5">
        <v>-29745</v>
      </c>
      <c r="F4316" s="3" t="s">
        <v>409</v>
      </c>
      <c r="G4316" s="3" t="s">
        <v>29</v>
      </c>
      <c r="H4316" s="2" t="s">
        <v>36</v>
      </c>
      <c r="I4316" s="2" t="s">
        <v>10309</v>
      </c>
      <c r="J4316" s="3" t="str">
        <f>HYPERLINK("https://www.boe.es/gazeta/dias/1818/07/23/pdfs/GMD-1818-88.pdf#page=4","Abrir facsímil")</f>
        <v>Abrir facsímil</v>
      </c>
      <c r="K4316" s="3" t="s">
        <v>38</v>
      </c>
    </row>
    <row r="4317" spans="1:11" ht="42" customHeight="1">
      <c r="A4317" s="2" t="s">
        <v>10310</v>
      </c>
      <c r="B4317" s="2" t="s">
        <v>10311</v>
      </c>
      <c r="C4317" s="2" t="s">
        <v>26</v>
      </c>
      <c r="D4317" s="2" t="s">
        <v>27</v>
      </c>
      <c r="E4317" s="5">
        <v>-29764</v>
      </c>
      <c r="F4317" s="3" t="s">
        <v>464</v>
      </c>
      <c r="G4317" s="3" t="s">
        <v>29</v>
      </c>
      <c r="H4317" s="2" t="s">
        <v>36</v>
      </c>
      <c r="I4317" s="2" t="s">
        <v>10312</v>
      </c>
      <c r="J4317" s="3" t="str">
        <f>HYPERLINK("https://www.boe.es/gazeta/dias/1818/07/04/pdfs/GMD-1818-80.pdf#page=4","Abrir facsímil")</f>
        <v>Abrir facsímil</v>
      </c>
      <c r="K4317" s="3" t="s">
        <v>38</v>
      </c>
    </row>
    <row r="4318" spans="1:11" ht="42" customHeight="1">
      <c r="A4318" s="2" t="s">
        <v>10313</v>
      </c>
      <c r="B4318" s="2" t="s">
        <v>10314</v>
      </c>
      <c r="C4318" s="2" t="s">
        <v>26</v>
      </c>
      <c r="D4318" s="2" t="s">
        <v>27</v>
      </c>
      <c r="E4318" s="5">
        <v>-29918</v>
      </c>
      <c r="F4318" s="3" t="s">
        <v>89</v>
      </c>
      <c r="G4318" s="3" t="s">
        <v>90</v>
      </c>
      <c r="H4318" s="2" t="s">
        <v>36</v>
      </c>
      <c r="I4318" s="2" t="s">
        <v>10315</v>
      </c>
      <c r="J4318" s="3" t="str">
        <f>HYPERLINK("https://www.boe.es/gazeta/dias/1818/01/31/pdfs/GMD-1818-14.pdf#page=10","Abrir facsímil")</f>
        <v>Abrir facsímil</v>
      </c>
      <c r="K4318" s="3" t="s">
        <v>38</v>
      </c>
    </row>
    <row r="4319" spans="1:11" ht="42" customHeight="1">
      <c r="A4319" s="2" t="s">
        <v>10316</v>
      </c>
      <c r="B4319" s="2" t="s">
        <v>10317</v>
      </c>
      <c r="C4319" s="2" t="s">
        <v>26</v>
      </c>
      <c r="D4319" s="2" t="s">
        <v>27</v>
      </c>
      <c r="E4319" s="5">
        <v>-29913</v>
      </c>
      <c r="F4319" s="3" t="s">
        <v>449</v>
      </c>
      <c r="G4319" s="3" t="s">
        <v>45</v>
      </c>
      <c r="H4319" s="2" t="s">
        <v>36</v>
      </c>
      <c r="I4319" s="2" t="s">
        <v>10318</v>
      </c>
      <c r="J4319" s="3" t="str">
        <f>HYPERLINK("https://www.boe.es/gazeta/dias/1818/02/05/pdfs/GMD-1818-16.pdf#page=8","Abrir facsímil")</f>
        <v>Abrir facsímil</v>
      </c>
      <c r="K4319" s="3" t="s">
        <v>38</v>
      </c>
    </row>
    <row r="4320" spans="1:11" ht="42" customHeight="1">
      <c r="A4320" s="2" t="s">
        <v>10319</v>
      </c>
      <c r="B4320" s="2" t="s">
        <v>10320</v>
      </c>
      <c r="C4320" s="2" t="s">
        <v>26</v>
      </c>
      <c r="D4320" s="2" t="s">
        <v>27</v>
      </c>
      <c r="E4320" s="5">
        <v>-29691</v>
      </c>
      <c r="F4320" s="3" t="s">
        <v>144</v>
      </c>
      <c r="G4320" s="3" t="s">
        <v>45</v>
      </c>
      <c r="H4320" s="2" t="s">
        <v>36</v>
      </c>
      <c r="I4320" s="2" t="s">
        <v>10321</v>
      </c>
      <c r="J4320" s="3" t="str">
        <f>HYPERLINK("https://www.boe.es/gazeta/dias/1818/09/15/pdfs/GMD-1818-111.pdf#page=8","Abrir facsímil")</f>
        <v>Abrir facsímil</v>
      </c>
      <c r="K4320" s="3" t="s">
        <v>38</v>
      </c>
    </row>
    <row r="4321" spans="1:11" ht="42" customHeight="1">
      <c r="A4321" s="2" t="s">
        <v>10322</v>
      </c>
      <c r="B4321" s="2" t="s">
        <v>10323</v>
      </c>
      <c r="C4321" s="2" t="s">
        <v>26</v>
      </c>
      <c r="D4321" s="2" t="s">
        <v>27</v>
      </c>
      <c r="E4321" s="5">
        <v>-29738</v>
      </c>
      <c r="F4321" s="3" t="s">
        <v>263</v>
      </c>
      <c r="G4321" s="3" t="s">
        <v>606</v>
      </c>
      <c r="H4321" s="2" t="s">
        <v>36</v>
      </c>
      <c r="I4321" s="2" t="s">
        <v>10324</v>
      </c>
      <c r="J4321" s="3" t="str">
        <f>HYPERLINK("https://www.boe.es/gazeta/dias/1818/07/30/pdfs/GMD-1818-91.pdf#page=15","Abrir facsímil")</f>
        <v>Abrir facsímil</v>
      </c>
      <c r="K4321" s="3" t="s">
        <v>38</v>
      </c>
    </row>
    <row r="4322" spans="1:11" ht="42" customHeight="1">
      <c r="A4322" s="2" t="s">
        <v>10325</v>
      </c>
      <c r="B4322" s="2" t="s">
        <v>10326</v>
      </c>
      <c r="C4322" s="2" t="s">
        <v>68</v>
      </c>
      <c r="D4322" s="2" t="s">
        <v>69</v>
      </c>
      <c r="E4322" s="5">
        <v>-29943</v>
      </c>
      <c r="F4322" s="3" t="s">
        <v>1837</v>
      </c>
      <c r="G4322" s="3" t="s">
        <v>45</v>
      </c>
      <c r="H4322" s="2" t="s">
        <v>36</v>
      </c>
      <c r="I4322" s="2" t="s">
        <v>10327</v>
      </c>
      <c r="J4322" s="3" t="str">
        <f>HYPERLINK("https://www.boe.es/gazeta/dias/1818/01/06/pdfs/GMD-1818-3.pdf#page=8","Abrir facsímil")</f>
        <v>Abrir facsímil</v>
      </c>
      <c r="K4322" s="3" t="s">
        <v>38</v>
      </c>
    </row>
    <row r="4323" spans="1:11" ht="42" customHeight="1">
      <c r="A4323" s="2" t="s">
        <v>10328</v>
      </c>
      <c r="B4323" s="2" t="s">
        <v>10329</v>
      </c>
      <c r="C4323" s="2" t="s">
        <v>26</v>
      </c>
      <c r="D4323" s="2" t="s">
        <v>27</v>
      </c>
      <c r="E4323" s="5">
        <v>-29855</v>
      </c>
      <c r="F4323" s="3" t="s">
        <v>676</v>
      </c>
      <c r="G4323" s="3" t="s">
        <v>29</v>
      </c>
      <c r="H4323" s="2" t="s">
        <v>36</v>
      </c>
      <c r="I4323" s="2" t="s">
        <v>10330</v>
      </c>
      <c r="J4323" s="3" t="str">
        <f>HYPERLINK("https://www.boe.es/gazeta/dias/1818/04/04/pdfs/GMD-1818-41.pdf#page=4","Abrir facsímil")</f>
        <v>Abrir facsímil</v>
      </c>
      <c r="K4323" s="3" t="s">
        <v>38</v>
      </c>
    </row>
    <row r="4324" spans="1:11" ht="42" customHeight="1">
      <c r="A4324" s="2" t="s">
        <v>10331</v>
      </c>
      <c r="B4324" s="2" t="s">
        <v>10332</v>
      </c>
      <c r="C4324" s="2" t="s">
        <v>17</v>
      </c>
      <c r="D4324" s="2" t="s">
        <v>18</v>
      </c>
      <c r="E4324" s="5">
        <v>-29708</v>
      </c>
      <c r="F4324" s="3" t="s">
        <v>413</v>
      </c>
      <c r="G4324" s="3" t="s">
        <v>106</v>
      </c>
      <c r="H4324" s="2" t="s">
        <v>36</v>
      </c>
      <c r="I4324" s="2" t="s">
        <v>10333</v>
      </c>
      <c r="J4324" s="3" t="str">
        <f>HYPERLINK("https://www.boe.es/gazeta/dias/1818/08/29/pdfs/GMD-1818-104.pdf#page=5","Abrir facsímil")</f>
        <v>Abrir facsímil</v>
      </c>
      <c r="K4324" s="3" t="s">
        <v>38</v>
      </c>
    </row>
    <row r="4325" spans="1:11" ht="42" customHeight="1">
      <c r="A4325" s="2" t="s">
        <v>10334</v>
      </c>
      <c r="B4325" s="2" t="s">
        <v>10335</v>
      </c>
      <c r="C4325" s="2" t="s">
        <v>68</v>
      </c>
      <c r="D4325" s="2" t="s">
        <v>69</v>
      </c>
      <c r="E4325" s="5">
        <v>-29866</v>
      </c>
      <c r="F4325" s="3" t="s">
        <v>828</v>
      </c>
      <c r="G4325" s="3" t="s">
        <v>45</v>
      </c>
      <c r="H4325" s="2" t="s">
        <v>36</v>
      </c>
      <c r="I4325" s="2" t="s">
        <v>10336</v>
      </c>
      <c r="J4325" s="3" t="str">
        <f>HYPERLINK("https://www.boe.es/gazeta/dias/1818/03/24/pdfs/GMD-1818-36.pdf#page=8","Abrir facsímil")</f>
        <v>Abrir facsímil</v>
      </c>
      <c r="K4325" s="3" t="s">
        <v>38</v>
      </c>
    </row>
    <row r="4326" spans="1:11" ht="42" customHeight="1">
      <c r="A4326" s="2" t="s">
        <v>10337</v>
      </c>
      <c r="B4326" s="2" t="s">
        <v>10338</v>
      </c>
      <c r="C4326" s="2" t="s">
        <v>57</v>
      </c>
      <c r="D4326" s="2" t="s">
        <v>18</v>
      </c>
      <c r="E4326" s="5">
        <v>-29866</v>
      </c>
      <c r="F4326" s="3" t="s">
        <v>828</v>
      </c>
      <c r="G4326" s="3" t="s">
        <v>45</v>
      </c>
      <c r="H4326" s="2" t="s">
        <v>36</v>
      </c>
      <c r="I4326" s="2" t="s">
        <v>10339</v>
      </c>
      <c r="J4326" s="3" t="str">
        <f>HYPERLINK("https://www.boe.es/gazeta/dias/1818/03/24/pdfs/GMD-1818-36.pdf#page=8","Abrir facsímil")</f>
        <v>Abrir facsímil</v>
      </c>
      <c r="K4326" s="3" t="s">
        <v>38</v>
      </c>
    </row>
    <row r="4327" spans="1:11" ht="42" customHeight="1">
      <c r="A4327" s="2" t="s">
        <v>10340</v>
      </c>
      <c r="B4327" s="2" t="s">
        <v>10341</v>
      </c>
      <c r="C4327" s="2" t="s">
        <v>68</v>
      </c>
      <c r="D4327" s="2" t="s">
        <v>69</v>
      </c>
      <c r="E4327" s="5">
        <v>-29722</v>
      </c>
      <c r="F4327" s="3" t="s">
        <v>1127</v>
      </c>
      <c r="G4327" s="3" t="s">
        <v>85</v>
      </c>
      <c r="H4327" s="2" t="s">
        <v>36</v>
      </c>
      <c r="I4327" s="2" t="s">
        <v>10342</v>
      </c>
      <c r="J4327" s="3" t="str">
        <f>HYPERLINK("https://www.boe.es/gazeta/dias/1818/08/15/pdfs/GMD-1818-98.pdf#page=3","Abrir facsímil")</f>
        <v>Abrir facsímil</v>
      </c>
      <c r="K4327" s="3" t="s">
        <v>38</v>
      </c>
    </row>
    <row r="4328" spans="1:11" ht="42" customHeight="1">
      <c r="A4328" s="2" t="s">
        <v>10343</v>
      </c>
      <c r="B4328" s="2" t="s">
        <v>10344</v>
      </c>
      <c r="C4328" s="2" t="s">
        <v>63</v>
      </c>
      <c r="D4328" s="2" t="s">
        <v>18</v>
      </c>
      <c r="E4328" s="5">
        <v>-29890</v>
      </c>
      <c r="F4328" s="3" t="s">
        <v>393</v>
      </c>
      <c r="G4328" s="3" t="s">
        <v>4435</v>
      </c>
      <c r="H4328" s="2" t="s">
        <v>36</v>
      </c>
      <c r="I4328" s="2" t="s">
        <v>10345</v>
      </c>
      <c r="J4328" s="3" t="str">
        <f>HYPERLINK("https://www.boe.es/gazeta/dias/1818/02/28/pdfs/GMD-1818-26.pdf#page=4","Abrir facsímil")</f>
        <v>Abrir facsímil</v>
      </c>
      <c r="K4328" s="3" t="s">
        <v>38</v>
      </c>
    </row>
    <row r="4329" spans="1:11" ht="42" customHeight="1">
      <c r="A4329" s="2" t="s">
        <v>10343</v>
      </c>
      <c r="B4329" s="2" t="s">
        <v>10344</v>
      </c>
      <c r="C4329" s="2" t="s">
        <v>26</v>
      </c>
      <c r="D4329" s="2" t="s">
        <v>27</v>
      </c>
      <c r="E4329" s="5">
        <v>-29857</v>
      </c>
      <c r="F4329" s="3" t="s">
        <v>831</v>
      </c>
      <c r="G4329" s="3" t="s">
        <v>106</v>
      </c>
      <c r="H4329" s="2" t="s">
        <v>36</v>
      </c>
      <c r="I4329" s="2" t="s">
        <v>10346</v>
      </c>
      <c r="J4329" s="3" t="str">
        <f>HYPERLINK("https://www.boe.es/gazeta/dias/1818/04/02/pdfs/GMD-1818-40.pdf#page=5","Abrir facsímil")</f>
        <v>Abrir facsímil</v>
      </c>
      <c r="K4329" s="3" t="s">
        <v>38</v>
      </c>
    </row>
    <row r="4330" spans="1:11" ht="42" customHeight="1">
      <c r="A4330" s="2" t="s">
        <v>10343</v>
      </c>
      <c r="B4330" s="2" t="s">
        <v>10344</v>
      </c>
      <c r="C4330" s="2" t="s">
        <v>26</v>
      </c>
      <c r="D4330" s="2" t="s">
        <v>27</v>
      </c>
      <c r="E4330" s="5">
        <v>-29857</v>
      </c>
      <c r="F4330" s="3" t="s">
        <v>831</v>
      </c>
      <c r="G4330" s="3" t="s">
        <v>59</v>
      </c>
      <c r="H4330" s="2" t="s">
        <v>36</v>
      </c>
      <c r="I4330" s="2" t="s">
        <v>10347</v>
      </c>
      <c r="J4330" s="3" t="str">
        <f>HYPERLINK("https://www.boe.es/gazeta/dias/1818/04/02/pdfs/GMD-1818-40.pdf#page=6","Abrir facsímil")</f>
        <v>Abrir facsímil</v>
      </c>
      <c r="K4330" s="3" t="s">
        <v>38</v>
      </c>
    </row>
    <row r="4331" spans="1:11" ht="42" customHeight="1">
      <c r="A4331" s="2" t="s">
        <v>10343</v>
      </c>
      <c r="B4331" s="2" t="s">
        <v>10344</v>
      </c>
      <c r="C4331" s="2" t="s">
        <v>26</v>
      </c>
      <c r="D4331" s="2" t="s">
        <v>27</v>
      </c>
      <c r="E4331" s="5">
        <v>-29677</v>
      </c>
      <c r="F4331" s="3" t="s">
        <v>157</v>
      </c>
      <c r="G4331" s="3" t="s">
        <v>106</v>
      </c>
      <c r="H4331" s="2" t="s">
        <v>36</v>
      </c>
      <c r="I4331" s="2" t="s">
        <v>10348</v>
      </c>
      <c r="J4331" s="3" t="str">
        <f>HYPERLINK("https://www.boe.es/gazeta/dias/1818/09/29/pdfs/GMD-1818-117.pdf#page=5","Abrir facsímil")</f>
        <v>Abrir facsímil</v>
      </c>
      <c r="K4331" s="3" t="s">
        <v>38</v>
      </c>
    </row>
    <row r="4332" spans="1:11" ht="42" customHeight="1">
      <c r="A4332" s="2" t="s">
        <v>10349</v>
      </c>
      <c r="B4332" s="2" t="s">
        <v>10350</v>
      </c>
      <c r="C4332" s="2" t="s">
        <v>17</v>
      </c>
      <c r="D4332" s="2" t="s">
        <v>18</v>
      </c>
      <c r="E4332" s="5">
        <v>-29719</v>
      </c>
      <c r="F4332" s="3" t="s">
        <v>243</v>
      </c>
      <c r="G4332" s="3" t="s">
        <v>2921</v>
      </c>
      <c r="H4332" s="2" t="s">
        <v>36</v>
      </c>
      <c r="I4332" s="2" t="s">
        <v>10351</v>
      </c>
      <c r="J4332" s="3" t="str">
        <f>HYPERLINK("https://www.boe.es/gazeta/dias/1818/08/18/pdfs/GMD-1818-99.pdf#page=12","Abrir facsímil")</f>
        <v>Abrir facsímil</v>
      </c>
      <c r="K4332" s="3" t="s">
        <v>38</v>
      </c>
    </row>
    <row r="4333" spans="1:11" ht="42" customHeight="1">
      <c r="A4333" s="2" t="s">
        <v>10352</v>
      </c>
      <c r="B4333" s="2" t="s">
        <v>10353</v>
      </c>
      <c r="C4333" s="2" t="s">
        <v>68</v>
      </c>
      <c r="D4333" s="2" t="s">
        <v>69</v>
      </c>
      <c r="E4333" s="5">
        <v>-29918</v>
      </c>
      <c r="F4333" s="3" t="s">
        <v>89</v>
      </c>
      <c r="G4333" s="3" t="s">
        <v>90</v>
      </c>
      <c r="H4333" s="2" t="s">
        <v>36</v>
      </c>
      <c r="I4333" s="2" t="s">
        <v>10354</v>
      </c>
      <c r="J4333" s="3" t="str">
        <f>HYPERLINK("https://www.boe.es/gazeta/dias/1818/01/31/pdfs/GMD-1818-14.pdf#page=10","Abrir facsímil")</f>
        <v>Abrir facsímil</v>
      </c>
      <c r="K4333" s="3" t="s">
        <v>38</v>
      </c>
    </row>
    <row r="4334" spans="1:11" ht="42" customHeight="1">
      <c r="A4334" s="2" t="s">
        <v>10355</v>
      </c>
      <c r="B4334" s="2" t="s">
        <v>10356</v>
      </c>
      <c r="C4334" s="2" t="s">
        <v>68</v>
      </c>
      <c r="D4334" s="2" t="s">
        <v>69</v>
      </c>
      <c r="E4334" s="5">
        <v>-29773</v>
      </c>
      <c r="F4334" s="3" t="s">
        <v>424</v>
      </c>
      <c r="G4334" s="3" t="s">
        <v>106</v>
      </c>
      <c r="H4334" s="2" t="s">
        <v>21</v>
      </c>
      <c r="I4334" s="2" t="s">
        <v>10357</v>
      </c>
      <c r="J4334" s="3" t="str">
        <f>HYPERLINK("https://www.boe.es/gazeta/dias/1818/06/25/pdfs/GMD-1818-76.pdf#page=5","Abrir facsímil")</f>
        <v>Abrir facsímil</v>
      </c>
      <c r="K4334" s="3" t="s">
        <v>23</v>
      </c>
    </row>
    <row r="4335" spans="1:11" ht="42" customHeight="1">
      <c r="A4335" s="2" t="s">
        <v>10358</v>
      </c>
      <c r="B4335" s="2" t="s">
        <v>10359</v>
      </c>
      <c r="C4335" s="2" t="s">
        <v>17</v>
      </c>
      <c r="D4335" s="2" t="s">
        <v>18</v>
      </c>
      <c r="E4335" s="5">
        <v>-29822</v>
      </c>
      <c r="F4335" s="3" t="s">
        <v>373</v>
      </c>
      <c r="G4335" s="3" t="s">
        <v>20</v>
      </c>
      <c r="H4335" s="2" t="s">
        <v>36</v>
      </c>
      <c r="I4335" s="2" t="s">
        <v>10360</v>
      </c>
      <c r="J4335" s="3" t="str">
        <f>HYPERLINK("https://www.boe.es/gazeta/dias/1818/05/07/pdfs/GMD-1818-55.pdf#page=7","Abrir facsímil")</f>
        <v>Abrir facsímil</v>
      </c>
      <c r="K4335" s="3" t="s">
        <v>38</v>
      </c>
    </row>
    <row r="4336" spans="1:11" ht="42" customHeight="1">
      <c r="A4336" s="2" t="s">
        <v>10361</v>
      </c>
      <c r="B4336" s="2" t="s">
        <v>10362</v>
      </c>
      <c r="C4336" s="2" t="s">
        <v>26</v>
      </c>
      <c r="D4336" s="2" t="s">
        <v>27</v>
      </c>
      <c r="E4336" s="5">
        <v>-29586</v>
      </c>
      <c r="F4336" s="3" t="s">
        <v>683</v>
      </c>
      <c r="G4336" s="3" t="s">
        <v>45</v>
      </c>
      <c r="H4336" s="2" t="s">
        <v>36</v>
      </c>
      <c r="I4336" s="2" t="s">
        <v>10363</v>
      </c>
      <c r="J4336" s="3" t="str">
        <f>HYPERLINK("https://www.boe.es/gazeta/dias/1818/12/29/pdfs/GMD-1818-158.pdf#page=8","Abrir facsímil")</f>
        <v>Abrir facsímil</v>
      </c>
      <c r="K4336" s="3" t="s">
        <v>38</v>
      </c>
    </row>
    <row r="4337" spans="1:11" ht="42" customHeight="1">
      <c r="A4337" s="2" t="s">
        <v>10364</v>
      </c>
      <c r="B4337" s="2" t="s">
        <v>10365</v>
      </c>
      <c r="C4337" s="2" t="s">
        <v>97</v>
      </c>
      <c r="D4337" s="2" t="s">
        <v>18</v>
      </c>
      <c r="E4337" s="5">
        <v>-29871</v>
      </c>
      <c r="F4337" s="3" t="s">
        <v>641</v>
      </c>
      <c r="G4337" s="3" t="s">
        <v>20</v>
      </c>
      <c r="H4337" s="2" t="s">
        <v>36</v>
      </c>
      <c r="I4337" s="2" t="s">
        <v>10366</v>
      </c>
      <c r="J4337" s="3" t="str">
        <f>HYPERLINK("https://www.boe.es/gazeta/dias/1818/03/19/pdfs/GMD-1818-34.pdf#page=7","Abrir facsímil")</f>
        <v>Abrir facsímil</v>
      </c>
      <c r="K4337" s="3" t="s">
        <v>38</v>
      </c>
    </row>
    <row r="4338" spans="1:11" ht="42" customHeight="1">
      <c r="A4338" s="2" t="s">
        <v>10367</v>
      </c>
      <c r="B4338" s="2" t="s">
        <v>10368</v>
      </c>
      <c r="C4338" s="2" t="s">
        <v>26</v>
      </c>
      <c r="D4338" s="2" t="s">
        <v>27</v>
      </c>
      <c r="E4338" s="5">
        <v>-29939</v>
      </c>
      <c r="F4338" s="3" t="s">
        <v>110</v>
      </c>
      <c r="G4338" s="3" t="s">
        <v>933</v>
      </c>
      <c r="H4338" s="2" t="s">
        <v>36</v>
      </c>
      <c r="I4338" s="2" t="s">
        <v>10369</v>
      </c>
      <c r="J4338" s="3" t="str">
        <f>HYPERLINK("https://www.boe.es/gazeta/dias/1818/01/10/pdfs/GMD-1818-5.pdf#page=9","Abrir facsímil")</f>
        <v>Abrir facsímil</v>
      </c>
      <c r="K4338" s="3" t="s">
        <v>38</v>
      </c>
    </row>
    <row r="4339" spans="1:11" ht="42" customHeight="1">
      <c r="A4339" s="2" t="s">
        <v>10370</v>
      </c>
      <c r="B4339" s="2" t="s">
        <v>10371</v>
      </c>
      <c r="C4339" s="2" t="s">
        <v>26</v>
      </c>
      <c r="D4339" s="2" t="s">
        <v>27</v>
      </c>
      <c r="E4339" s="5">
        <v>-29897</v>
      </c>
      <c r="F4339" s="3" t="s">
        <v>318</v>
      </c>
      <c r="G4339" s="3" t="s">
        <v>29</v>
      </c>
      <c r="H4339" s="2" t="s">
        <v>36</v>
      </c>
      <c r="I4339" s="2" t="s">
        <v>10372</v>
      </c>
      <c r="J4339" s="3" t="str">
        <f>HYPERLINK("https://www.boe.es/gazeta/dias/1818/02/21/pdfs/GMD-1818-23.pdf#page=4","Abrir facsímil")</f>
        <v>Abrir facsímil</v>
      </c>
      <c r="K4339" s="3" t="s">
        <v>38</v>
      </c>
    </row>
    <row r="4340" spans="1:11" ht="42" customHeight="1">
      <c r="A4340" s="2" t="s">
        <v>10367</v>
      </c>
      <c r="B4340" s="2" t="s">
        <v>10368</v>
      </c>
      <c r="C4340" s="2" t="s">
        <v>26</v>
      </c>
      <c r="D4340" s="2" t="s">
        <v>27</v>
      </c>
      <c r="E4340" s="5">
        <v>-29887</v>
      </c>
      <c r="F4340" s="3" t="s">
        <v>613</v>
      </c>
      <c r="G4340" s="3" t="s">
        <v>59</v>
      </c>
      <c r="H4340" s="2" t="s">
        <v>36</v>
      </c>
      <c r="I4340" s="2" t="s">
        <v>10373</v>
      </c>
      <c r="J4340" s="3" t="str">
        <f>HYPERLINK("https://www.boe.es/gazeta/dias/1818/03/03/pdfs/GMD-1818-27.pdf#page=6","Abrir facsímil")</f>
        <v>Abrir facsímil</v>
      </c>
      <c r="K4340" s="3" t="s">
        <v>38</v>
      </c>
    </row>
    <row r="4341" spans="1:11" ht="42" customHeight="1">
      <c r="A4341" s="2" t="s">
        <v>10367</v>
      </c>
      <c r="B4341" s="2" t="s">
        <v>10368</v>
      </c>
      <c r="C4341" s="2" t="s">
        <v>26</v>
      </c>
      <c r="D4341" s="2" t="s">
        <v>27</v>
      </c>
      <c r="E4341" s="5">
        <v>-29589</v>
      </c>
      <c r="F4341" s="3" t="s">
        <v>210</v>
      </c>
      <c r="G4341" s="3" t="s">
        <v>20</v>
      </c>
      <c r="H4341" s="2" t="s">
        <v>36</v>
      </c>
      <c r="I4341" s="2" t="s">
        <v>10374</v>
      </c>
      <c r="J4341" s="3" t="str">
        <f>HYPERLINK("https://www.boe.es/gazeta/dias/1818/12/26/pdfs/GMD-1818-156.pdf#page=7","Abrir facsímil")</f>
        <v>Abrir facsímil</v>
      </c>
      <c r="K4341" s="3" t="s">
        <v>38</v>
      </c>
    </row>
    <row r="4342" spans="1:11" ht="42" customHeight="1">
      <c r="A4342" s="2" t="s">
        <v>10375</v>
      </c>
      <c r="B4342" s="2" t="s">
        <v>10376</v>
      </c>
      <c r="C4342" s="2" t="s">
        <v>26</v>
      </c>
      <c r="D4342" s="2" t="s">
        <v>27</v>
      </c>
      <c r="E4342" s="5">
        <v>-29754</v>
      </c>
      <c r="F4342" s="3" t="s">
        <v>466</v>
      </c>
      <c r="G4342" s="3" t="s">
        <v>29</v>
      </c>
      <c r="H4342" s="2" t="s">
        <v>36</v>
      </c>
      <c r="I4342" s="2" t="s">
        <v>10377</v>
      </c>
      <c r="J4342" s="3" t="str">
        <f>HYPERLINK("https://www.boe.es/gazeta/dias/1818/07/14/pdfs/GMD-1818-84.pdf#page=4","Abrir facsímil")</f>
        <v>Abrir facsímil</v>
      </c>
      <c r="K4342" s="3" t="s">
        <v>38</v>
      </c>
    </row>
    <row r="4343" spans="1:11" ht="42" customHeight="1">
      <c r="A4343" s="2" t="s">
        <v>10375</v>
      </c>
      <c r="B4343" s="2" t="s">
        <v>10376</v>
      </c>
      <c r="C4343" s="2" t="s">
        <v>26</v>
      </c>
      <c r="D4343" s="2" t="s">
        <v>27</v>
      </c>
      <c r="E4343" s="5">
        <v>-29589</v>
      </c>
      <c r="F4343" s="3" t="s">
        <v>210</v>
      </c>
      <c r="G4343" s="3" t="s">
        <v>29</v>
      </c>
      <c r="H4343" s="2" t="s">
        <v>36</v>
      </c>
      <c r="I4343" s="2" t="s">
        <v>10378</v>
      </c>
      <c r="J4343" s="3" t="str">
        <f>HYPERLINK("https://www.boe.es/gazeta/dias/1818/12/26/pdfs/GMD-1818-156.pdf#page=4","Abrir facsímil")</f>
        <v>Abrir facsímil</v>
      </c>
      <c r="K4343" s="3" t="s">
        <v>38</v>
      </c>
    </row>
    <row r="4344" spans="1:11" ht="42" customHeight="1">
      <c r="A4344" s="2" t="s">
        <v>10379</v>
      </c>
      <c r="B4344" s="2" t="s">
        <v>10380</v>
      </c>
      <c r="C4344" s="2" t="s">
        <v>68</v>
      </c>
      <c r="D4344" s="2" t="s">
        <v>69</v>
      </c>
      <c r="E4344" s="5">
        <v>-29673</v>
      </c>
      <c r="F4344" s="3" t="s">
        <v>1099</v>
      </c>
      <c r="G4344" s="3" t="s">
        <v>45</v>
      </c>
      <c r="H4344" s="2" t="s">
        <v>36</v>
      </c>
      <c r="I4344" s="2" t="s">
        <v>10381</v>
      </c>
      <c r="J4344" s="3" t="str">
        <f>HYPERLINK("https://www.boe.es/gazeta/dias/1818/10/03/pdfs/GMD-1818-119.pdf#page=8","Abrir facsímil")</f>
        <v>Abrir facsímil</v>
      </c>
      <c r="K4344" s="3" t="s">
        <v>38</v>
      </c>
    </row>
    <row r="4345" spans="1:11" ht="42" customHeight="1">
      <c r="A4345" s="2" t="s">
        <v>10382</v>
      </c>
      <c r="B4345" s="2" t="s">
        <v>10383</v>
      </c>
      <c r="C4345" s="2" t="s">
        <v>97</v>
      </c>
      <c r="D4345" s="2" t="s">
        <v>18</v>
      </c>
      <c r="E4345" s="5">
        <v>-29607</v>
      </c>
      <c r="F4345" s="3" t="s">
        <v>704</v>
      </c>
      <c r="G4345" s="3" t="s">
        <v>2289</v>
      </c>
      <c r="H4345" s="2" t="s">
        <v>21</v>
      </c>
      <c r="I4345" s="2" t="s">
        <v>10384</v>
      </c>
      <c r="J4345" s="3" t="str">
        <f>HYPERLINK("https://www.boe.es/gazeta/dias/1818/12/08/pdfs/GMD-1818-148.pdf#page=8","Abrir facsímil")</f>
        <v>Abrir facsímil</v>
      </c>
      <c r="K4345" s="3" t="s">
        <v>23</v>
      </c>
    </row>
    <row r="4346" spans="1:11" ht="42" customHeight="1">
      <c r="A4346" s="2" t="s">
        <v>10385</v>
      </c>
      <c r="B4346" s="2" t="s">
        <v>10386</v>
      </c>
      <c r="C4346" s="2" t="s">
        <v>33</v>
      </c>
      <c r="D4346" s="2" t="s">
        <v>18</v>
      </c>
      <c r="E4346" s="5">
        <v>-29845</v>
      </c>
      <c r="F4346" s="3" t="s">
        <v>105</v>
      </c>
      <c r="G4346" s="3" t="s">
        <v>59</v>
      </c>
      <c r="H4346" s="2" t="s">
        <v>36</v>
      </c>
      <c r="I4346" s="2" t="s">
        <v>10387</v>
      </c>
      <c r="J4346" s="3" t="str">
        <f>HYPERLINK("https://www.boe.es/gazeta/dias/1818/04/14/pdfs/GMD-1818-45.pdf#page=6","Abrir facsímil")</f>
        <v>Abrir facsímil</v>
      </c>
      <c r="K4346" s="3" t="s">
        <v>38</v>
      </c>
    </row>
    <row r="4347" spans="1:11" ht="42" customHeight="1">
      <c r="A4347" s="2" t="s">
        <v>10388</v>
      </c>
      <c r="B4347" s="2" t="s">
        <v>10389</v>
      </c>
      <c r="C4347" s="2" t="s">
        <v>215</v>
      </c>
      <c r="D4347" s="2" t="s">
        <v>18</v>
      </c>
      <c r="E4347" s="5">
        <v>-29619</v>
      </c>
      <c r="F4347" s="3" t="s">
        <v>64</v>
      </c>
      <c r="G4347" s="3" t="s">
        <v>20</v>
      </c>
      <c r="H4347" s="2" t="s">
        <v>36</v>
      </c>
      <c r="I4347" s="2" t="s">
        <v>10390</v>
      </c>
      <c r="J4347" s="3" t="str">
        <f>HYPERLINK("https://www.boe.es/gazeta/dias/1818/11/26/pdfs/GMD-1818-143.pdf#page=7","Abrir facsímil")</f>
        <v>Abrir facsímil</v>
      </c>
      <c r="K4347" s="3" t="s">
        <v>38</v>
      </c>
    </row>
    <row r="4348" spans="1:11" ht="42" customHeight="1">
      <c r="A4348" s="2" t="s">
        <v>10391</v>
      </c>
      <c r="B4348" s="2" t="s">
        <v>10392</v>
      </c>
      <c r="C4348" s="2" t="s">
        <v>215</v>
      </c>
      <c r="D4348" s="2" t="s">
        <v>18</v>
      </c>
      <c r="E4348" s="5">
        <v>-29829</v>
      </c>
      <c r="F4348" s="3" t="s">
        <v>44</v>
      </c>
      <c r="G4348" s="3" t="s">
        <v>20</v>
      </c>
      <c r="H4348" s="2" t="s">
        <v>36</v>
      </c>
      <c r="I4348" s="2" t="s">
        <v>10393</v>
      </c>
      <c r="J4348" s="3" t="str">
        <f>HYPERLINK("https://www.boe.es/gazeta/dias/1818/04/30/pdfs/GMD-1818-52.pdf#page=7","Abrir facsímil")</f>
        <v>Abrir facsímil</v>
      </c>
      <c r="K4348" s="3" t="s">
        <v>38</v>
      </c>
    </row>
    <row r="4349" spans="1:11" ht="42" customHeight="1">
      <c r="A4349" s="2" t="s">
        <v>10394</v>
      </c>
      <c r="B4349" s="2" t="s">
        <v>10395</v>
      </c>
      <c r="C4349" s="2" t="s">
        <v>17</v>
      </c>
      <c r="D4349" s="2" t="s">
        <v>18</v>
      </c>
      <c r="E4349" s="5">
        <v>-29635</v>
      </c>
      <c r="F4349" s="3" t="s">
        <v>560</v>
      </c>
      <c r="G4349" s="3" t="s">
        <v>20</v>
      </c>
      <c r="H4349" s="2" t="s">
        <v>36</v>
      </c>
      <c r="I4349" s="2" t="s">
        <v>10396</v>
      </c>
      <c r="J4349" s="3" t="str">
        <f>HYPERLINK("https://www.boe.es/gazeta/dias/1818/11/10/pdfs/GMD-1818-136.pdf#page=7","Abrir facsímil")</f>
        <v>Abrir facsímil</v>
      </c>
      <c r="K4349" s="3" t="s">
        <v>38</v>
      </c>
    </row>
    <row r="4350" spans="1:11" ht="42" customHeight="1">
      <c r="A4350" s="2" t="s">
        <v>10397</v>
      </c>
      <c r="B4350" s="2" t="s">
        <v>10398</v>
      </c>
      <c r="C4350" s="2" t="s">
        <v>68</v>
      </c>
      <c r="D4350" s="2" t="s">
        <v>69</v>
      </c>
      <c r="E4350" s="5">
        <v>-29747</v>
      </c>
      <c r="F4350" s="3" t="s">
        <v>536</v>
      </c>
      <c r="G4350" s="3" t="s">
        <v>20</v>
      </c>
      <c r="H4350" s="2" t="s">
        <v>36</v>
      </c>
      <c r="I4350" s="2" t="s">
        <v>10399</v>
      </c>
      <c r="J4350" s="3" t="str">
        <f>HYPERLINK("https://www.boe.es/gazeta/dias/1818/07/21/pdfs/GMD-1818-87.pdf#page=7","Abrir facsímil")</f>
        <v>Abrir facsímil</v>
      </c>
      <c r="K4350" s="3" t="s">
        <v>38</v>
      </c>
    </row>
    <row r="4351" spans="1:11" ht="42" customHeight="1">
      <c r="A4351" s="2" t="s">
        <v>10400</v>
      </c>
      <c r="B4351" s="2" t="s">
        <v>10401</v>
      </c>
      <c r="C4351" s="2" t="s">
        <v>26</v>
      </c>
      <c r="D4351" s="2" t="s">
        <v>27</v>
      </c>
      <c r="E4351" s="5">
        <v>-29596</v>
      </c>
      <c r="F4351" s="3" t="s">
        <v>555</v>
      </c>
      <c r="G4351" s="3" t="s">
        <v>556</v>
      </c>
      <c r="H4351" s="2" t="s">
        <v>36</v>
      </c>
      <c r="I4351" s="2" t="s">
        <v>10402</v>
      </c>
      <c r="J4351" s="3" t="str">
        <f>HYPERLINK("https://www.boe.es/gazeta/dias/1818/12/19/pdfs/GMD-1818-153.pdf#page=4","Abrir facsímil")</f>
        <v>Abrir facsímil</v>
      </c>
      <c r="K4351" s="3" t="s">
        <v>38</v>
      </c>
    </row>
    <row r="4352" spans="1:11" ht="42" customHeight="1">
      <c r="A4352" s="2" t="s">
        <v>10403</v>
      </c>
      <c r="B4352" s="2" t="s">
        <v>10404</v>
      </c>
      <c r="C4352" s="2" t="s">
        <v>26</v>
      </c>
      <c r="D4352" s="2" t="s">
        <v>27</v>
      </c>
      <c r="E4352" s="5">
        <v>-29726</v>
      </c>
      <c r="F4352" s="3" t="s">
        <v>70</v>
      </c>
      <c r="G4352" s="3" t="s">
        <v>606</v>
      </c>
      <c r="H4352" s="2" t="s">
        <v>36</v>
      </c>
      <c r="I4352" s="2" t="s">
        <v>10405</v>
      </c>
      <c r="J4352" s="3" t="str">
        <f>HYPERLINK("https://www.boe.es/gazeta/dias/1818/08/11/pdfs/GMD-1818-96.pdf#page=15","Abrir facsímil")</f>
        <v>Abrir facsímil</v>
      </c>
      <c r="K4352" s="3" t="s">
        <v>38</v>
      </c>
    </row>
    <row r="4353" spans="1:11" ht="42" customHeight="1">
      <c r="A4353" s="2" t="s">
        <v>10403</v>
      </c>
      <c r="B4353" s="2" t="s">
        <v>10404</v>
      </c>
      <c r="C4353" s="2" t="s">
        <v>26</v>
      </c>
      <c r="D4353" s="2" t="s">
        <v>27</v>
      </c>
      <c r="E4353" s="5">
        <v>-29726</v>
      </c>
      <c r="F4353" s="3" t="s">
        <v>70</v>
      </c>
      <c r="G4353" s="3" t="s">
        <v>106</v>
      </c>
      <c r="H4353" s="2" t="s">
        <v>36</v>
      </c>
      <c r="I4353" s="2" t="s">
        <v>10406</v>
      </c>
      <c r="J4353" s="3" t="str">
        <f>HYPERLINK("https://www.boe.es/gazeta/dias/1818/08/11/pdfs/GMD-1818-96.pdf#page=5","Abrir facsímil")</f>
        <v>Abrir facsímil</v>
      </c>
      <c r="K4353" s="3" t="s">
        <v>38</v>
      </c>
    </row>
    <row r="4354" spans="1:11" ht="42" customHeight="1">
      <c r="A4354" s="2" t="s">
        <v>10407</v>
      </c>
      <c r="B4354" s="2" t="s">
        <v>10408</v>
      </c>
      <c r="C4354" s="2" t="s">
        <v>26</v>
      </c>
      <c r="D4354" s="2" t="s">
        <v>27</v>
      </c>
      <c r="E4354" s="5">
        <v>-29918</v>
      </c>
      <c r="F4354" s="3" t="s">
        <v>89</v>
      </c>
      <c r="G4354" s="3" t="s">
        <v>90</v>
      </c>
      <c r="H4354" s="2" t="s">
        <v>36</v>
      </c>
      <c r="I4354" s="2" t="s">
        <v>10409</v>
      </c>
      <c r="J4354" s="3" t="str">
        <f>HYPERLINK("https://www.boe.es/gazeta/dias/1818/01/31/pdfs/GMD-1818-14.pdf#page=10","Abrir facsímil")</f>
        <v>Abrir facsímil</v>
      </c>
      <c r="K4354" s="3" t="s">
        <v>38</v>
      </c>
    </row>
    <row r="4355" spans="1:11" ht="42" customHeight="1">
      <c r="A4355" s="2" t="s">
        <v>10410</v>
      </c>
      <c r="B4355" s="2" t="s">
        <v>10410</v>
      </c>
      <c r="C4355" s="2" t="s">
        <v>26</v>
      </c>
      <c r="D4355" s="2" t="s">
        <v>27</v>
      </c>
      <c r="E4355" s="5">
        <v>-29694</v>
      </c>
      <c r="F4355" s="3" t="s">
        <v>528</v>
      </c>
      <c r="G4355" s="3" t="s">
        <v>29</v>
      </c>
      <c r="H4355" s="2" t="s">
        <v>36</v>
      </c>
      <c r="I4355" s="2" t="s">
        <v>10411</v>
      </c>
      <c r="J4355" s="3" t="str">
        <f>HYPERLINK("https://www.boe.es/gazeta/dias/1818/09/12/pdfs/GMD-1818-110.pdf#page=4","Abrir facsímil")</f>
        <v>Abrir facsímil</v>
      </c>
      <c r="K4355" s="3" t="s">
        <v>38</v>
      </c>
    </row>
    <row r="4356" spans="1:11" ht="42" customHeight="1">
      <c r="A4356" s="2" t="s">
        <v>10410</v>
      </c>
      <c r="B4356" s="2" t="s">
        <v>10410</v>
      </c>
      <c r="C4356" s="2" t="s">
        <v>26</v>
      </c>
      <c r="D4356" s="2" t="s">
        <v>27</v>
      </c>
      <c r="E4356" s="5">
        <v>-29694</v>
      </c>
      <c r="F4356" s="3" t="s">
        <v>528</v>
      </c>
      <c r="G4356" s="3" t="s">
        <v>106</v>
      </c>
      <c r="H4356" s="2" t="s">
        <v>36</v>
      </c>
      <c r="I4356" s="2" t="s">
        <v>10412</v>
      </c>
      <c r="J4356" s="3" t="str">
        <f>HYPERLINK("https://www.boe.es/gazeta/dias/1818/09/12/pdfs/GMD-1818-110.pdf#page=5","Abrir facsímil")</f>
        <v>Abrir facsímil</v>
      </c>
      <c r="K4356" s="3" t="s">
        <v>38</v>
      </c>
    </row>
    <row r="4357" spans="1:11" ht="42" customHeight="1">
      <c r="A4357" s="2" t="s">
        <v>10413</v>
      </c>
      <c r="B4357" s="2" t="s">
        <v>10414</v>
      </c>
      <c r="C4357" s="2" t="s">
        <v>26</v>
      </c>
      <c r="D4357" s="2" t="s">
        <v>27</v>
      </c>
      <c r="E4357" s="5">
        <v>-29694</v>
      </c>
      <c r="F4357" s="3" t="s">
        <v>528</v>
      </c>
      <c r="G4357" s="3" t="s">
        <v>106</v>
      </c>
      <c r="H4357" s="2" t="s">
        <v>36</v>
      </c>
      <c r="I4357" s="2" t="s">
        <v>10415</v>
      </c>
      <c r="J4357" s="3" t="str">
        <f>HYPERLINK("https://www.boe.es/gazeta/dias/1818/09/12/pdfs/GMD-1818-110.pdf#page=5","Abrir facsímil")</f>
        <v>Abrir facsímil</v>
      </c>
      <c r="K4357" s="3" t="s">
        <v>38</v>
      </c>
    </row>
    <row r="4358" spans="1:11" ht="42" customHeight="1">
      <c r="A4358" s="2" t="s">
        <v>10416</v>
      </c>
      <c r="B4358" s="2" t="s">
        <v>10417</v>
      </c>
      <c r="C4358" s="2" t="s">
        <v>17</v>
      </c>
      <c r="D4358" s="2" t="s">
        <v>18</v>
      </c>
      <c r="E4358" s="5">
        <v>-29885</v>
      </c>
      <c r="F4358" s="3" t="s">
        <v>2308</v>
      </c>
      <c r="G4358" s="3" t="s">
        <v>6684</v>
      </c>
      <c r="H4358" s="2" t="s">
        <v>36</v>
      </c>
      <c r="I4358" s="2" t="s">
        <v>10418</v>
      </c>
      <c r="J4358" s="3" t="str">
        <f>HYPERLINK("https://www.boe.es/gazeta/dias/1818/03/05/pdfs/GMD-1818-28.pdf#page=8","Abrir facsímil")</f>
        <v>Abrir facsímil</v>
      </c>
      <c r="K4358" s="3" t="s">
        <v>38</v>
      </c>
    </row>
    <row r="4359" spans="1:11" ht="42" customHeight="1">
      <c r="A4359" s="2" t="s">
        <v>10419</v>
      </c>
      <c r="B4359" s="2" t="s">
        <v>10420</v>
      </c>
      <c r="C4359" s="2" t="s">
        <v>26</v>
      </c>
      <c r="D4359" s="2" t="s">
        <v>27</v>
      </c>
      <c r="E4359" s="5">
        <v>-29738</v>
      </c>
      <c r="F4359" s="3" t="s">
        <v>263</v>
      </c>
      <c r="G4359" s="3" t="s">
        <v>59</v>
      </c>
      <c r="H4359" s="2" t="s">
        <v>36</v>
      </c>
      <c r="I4359" s="2" t="s">
        <v>10421</v>
      </c>
      <c r="J4359" s="3" t="str">
        <f>HYPERLINK("https://www.boe.es/gazeta/dias/1818/07/30/pdfs/GMD-1818-91.pdf#page=6","Abrir facsímil")</f>
        <v>Abrir facsímil</v>
      </c>
      <c r="K4359" s="3" t="s">
        <v>38</v>
      </c>
    </row>
    <row r="4360" spans="1:11" ht="42" customHeight="1">
      <c r="A4360" s="2" t="s">
        <v>10422</v>
      </c>
      <c r="B4360" s="2" t="s">
        <v>10422</v>
      </c>
      <c r="C4360" s="2" t="s">
        <v>26</v>
      </c>
      <c r="D4360" s="2" t="s">
        <v>27</v>
      </c>
      <c r="E4360" s="5">
        <v>-29852</v>
      </c>
      <c r="F4360" s="3" t="s">
        <v>327</v>
      </c>
      <c r="G4360" s="3" t="s">
        <v>29</v>
      </c>
      <c r="H4360" s="2" t="s">
        <v>36</v>
      </c>
      <c r="I4360" s="2" t="s">
        <v>10423</v>
      </c>
      <c r="J4360" s="3" t="str">
        <f>HYPERLINK("https://www.boe.es/gazeta/dias/1818/04/07/pdfs/GMD-1818-42.pdf#page=4","Abrir facsímil")</f>
        <v>Abrir facsímil</v>
      </c>
      <c r="K4360" s="3" t="s">
        <v>38</v>
      </c>
    </row>
    <row r="4361" spans="1:11" ht="42" customHeight="1">
      <c r="A4361" s="2" t="s">
        <v>10424</v>
      </c>
      <c r="B4361" s="2" t="s">
        <v>10424</v>
      </c>
      <c r="C4361" s="2" t="s">
        <v>26</v>
      </c>
      <c r="D4361" s="2" t="s">
        <v>27</v>
      </c>
      <c r="E4361" s="5">
        <v>-29778</v>
      </c>
      <c r="F4361" s="3" t="s">
        <v>239</v>
      </c>
      <c r="G4361" s="3" t="s">
        <v>85</v>
      </c>
      <c r="H4361" s="2" t="s">
        <v>36</v>
      </c>
      <c r="I4361" s="2" t="s">
        <v>10425</v>
      </c>
      <c r="J4361" s="3" t="str">
        <f>HYPERLINK("https://www.boe.es/gazeta/dias/1818/06/20/pdfs/GMD-1818-74.pdf#page=3","Abrir facsímil")</f>
        <v>Abrir facsímil</v>
      </c>
      <c r="K4361" s="3" t="s">
        <v>38</v>
      </c>
    </row>
    <row r="4362" spans="1:11" ht="42" customHeight="1">
      <c r="A4362" s="2" t="s">
        <v>10426</v>
      </c>
      <c r="B4362" s="2" t="s">
        <v>10427</v>
      </c>
      <c r="C4362" s="2" t="s">
        <v>26</v>
      </c>
      <c r="D4362" s="2" t="s">
        <v>27</v>
      </c>
      <c r="E4362" s="5">
        <v>-29827</v>
      </c>
      <c r="F4362" s="3" t="s">
        <v>280</v>
      </c>
      <c r="G4362" s="3" t="s">
        <v>59</v>
      </c>
      <c r="H4362" s="2" t="s">
        <v>36</v>
      </c>
      <c r="I4362" s="2" t="s">
        <v>10428</v>
      </c>
      <c r="J4362" s="3" t="str">
        <f>HYPERLINK("https://www.boe.es/gazeta/dias/1818/05/02/pdfs/GMD-1818-53.pdf#page=6","Abrir facsímil")</f>
        <v>Abrir facsímil</v>
      </c>
      <c r="K4362" s="3" t="s">
        <v>38</v>
      </c>
    </row>
    <row r="4363" spans="1:11" ht="42" customHeight="1">
      <c r="A4363" s="2" t="s">
        <v>10429</v>
      </c>
      <c r="B4363" s="2" t="s">
        <v>10430</v>
      </c>
      <c r="C4363" s="2" t="s">
        <v>26</v>
      </c>
      <c r="D4363" s="2" t="s">
        <v>27</v>
      </c>
      <c r="E4363" s="5">
        <v>-29920</v>
      </c>
      <c r="F4363" s="3" t="s">
        <v>201</v>
      </c>
      <c r="G4363" s="3" t="s">
        <v>111</v>
      </c>
      <c r="H4363" s="2" t="s">
        <v>36</v>
      </c>
      <c r="I4363" s="2" t="s">
        <v>10431</v>
      </c>
      <c r="J4363" s="3" t="str">
        <f>HYPERLINK("https://www.boe.es/gazeta/dias/1818/01/29/pdfs/GMD-1818-13.pdf#page=11","Abrir facsímil")</f>
        <v>Abrir facsímil</v>
      </c>
      <c r="K4363" s="3" t="s">
        <v>38</v>
      </c>
    </row>
    <row r="4364" spans="1:11" ht="42" customHeight="1">
      <c r="A4364" s="2" t="s">
        <v>10432</v>
      </c>
      <c r="B4364" s="2" t="s">
        <v>10432</v>
      </c>
      <c r="C4364" s="2" t="s">
        <v>68</v>
      </c>
      <c r="D4364" s="2" t="s">
        <v>69</v>
      </c>
      <c r="E4364" s="5">
        <v>-29929</v>
      </c>
      <c r="F4364" s="3" t="s">
        <v>204</v>
      </c>
      <c r="G4364" s="3" t="s">
        <v>85</v>
      </c>
      <c r="H4364" s="2" t="s">
        <v>36</v>
      </c>
      <c r="I4364" s="2" t="s">
        <v>10433</v>
      </c>
      <c r="J4364" s="3" t="str">
        <f>HYPERLINK("https://www.boe.es/gazeta/dias/1818/01/20/pdfs/GMD-1818-9.pdf#page=3","Abrir facsímil")</f>
        <v>Abrir facsímil</v>
      </c>
      <c r="K4364" s="3" t="s">
        <v>38</v>
      </c>
    </row>
    <row r="4365" spans="1:11" ht="42" customHeight="1">
      <c r="A4365" s="2" t="s">
        <v>10432</v>
      </c>
      <c r="B4365" s="2" t="s">
        <v>10432</v>
      </c>
      <c r="C4365" s="2" t="s">
        <v>26</v>
      </c>
      <c r="D4365" s="2" t="s">
        <v>27</v>
      </c>
      <c r="E4365" s="5">
        <v>-29787</v>
      </c>
      <c r="F4365" s="3" t="s">
        <v>343</v>
      </c>
      <c r="G4365" s="3" t="s">
        <v>120</v>
      </c>
      <c r="H4365" s="2" t="s">
        <v>36</v>
      </c>
      <c r="I4365" s="2" t="s">
        <v>10434</v>
      </c>
      <c r="J4365" s="3" t="str">
        <f>HYPERLINK("https://www.boe.es/gazeta/dias/1818/06/11/pdfs/GMD-1818-70.pdf#page=2","Abrir facsímil")</f>
        <v>Abrir facsímil</v>
      </c>
      <c r="K4365" s="3" t="s">
        <v>38</v>
      </c>
    </row>
    <row r="4366" spans="1:11" ht="42" customHeight="1">
      <c r="A4366" s="2" t="s">
        <v>10435</v>
      </c>
      <c r="B4366" s="2" t="s">
        <v>10435</v>
      </c>
      <c r="C4366" s="2" t="s">
        <v>26</v>
      </c>
      <c r="D4366" s="2" t="s">
        <v>27</v>
      </c>
      <c r="E4366" s="5">
        <v>-29663</v>
      </c>
      <c r="F4366" s="3" t="s">
        <v>1011</v>
      </c>
      <c r="G4366" s="3" t="s">
        <v>49</v>
      </c>
      <c r="H4366" s="2" t="s">
        <v>36</v>
      </c>
      <c r="I4366" s="2" t="s">
        <v>10436</v>
      </c>
      <c r="J4366" s="3" t="str">
        <f>HYPERLINK("https://www.boe.es/gazeta/dias/1818/10/13/pdfs/GMD-1818-123.pdf#page=1","Abrir facsímil")</f>
        <v>Abrir facsímil</v>
      </c>
      <c r="K4366" s="3" t="s">
        <v>38</v>
      </c>
    </row>
    <row r="4367" spans="1:11" ht="42" customHeight="1">
      <c r="A4367" s="2" t="s">
        <v>10437</v>
      </c>
      <c r="B4367" s="2" t="s">
        <v>10437</v>
      </c>
      <c r="C4367" s="2" t="s">
        <v>26</v>
      </c>
      <c r="D4367" s="2" t="s">
        <v>27</v>
      </c>
      <c r="E4367" s="5">
        <v>-29661</v>
      </c>
      <c r="F4367" s="3" t="s">
        <v>348</v>
      </c>
      <c r="G4367" s="3" t="s">
        <v>49</v>
      </c>
      <c r="H4367" s="2" t="s">
        <v>36</v>
      </c>
      <c r="I4367" s="2" t="s">
        <v>10438</v>
      </c>
      <c r="J4367" s="3" t="str">
        <f>HYPERLINK("https://www.boe.es/gazeta/dias/1818/10/15/pdfs/GMD-1818-124.pdf#page=1","Abrir facsímil")</f>
        <v>Abrir facsímil</v>
      </c>
      <c r="K4367" s="3" t="s">
        <v>38</v>
      </c>
    </row>
    <row r="4368" spans="1:11" ht="42" customHeight="1">
      <c r="A4368" s="2" t="s">
        <v>10439</v>
      </c>
      <c r="B4368" s="2" t="s">
        <v>10439</v>
      </c>
      <c r="C4368" s="2" t="s">
        <v>215</v>
      </c>
      <c r="D4368" s="2" t="s">
        <v>18</v>
      </c>
      <c r="E4368" s="5">
        <v>-29745</v>
      </c>
      <c r="F4368" s="3" t="s">
        <v>409</v>
      </c>
      <c r="G4368" s="3" t="s">
        <v>85</v>
      </c>
      <c r="H4368" s="2" t="s">
        <v>36</v>
      </c>
      <c r="I4368" s="2" t="s">
        <v>10440</v>
      </c>
      <c r="J4368" s="3" t="str">
        <f>HYPERLINK("https://www.boe.es/gazeta/dias/1818/07/23/pdfs/GMD-1818-88.pdf#page=3","Abrir facsímil")</f>
        <v>Abrir facsímil</v>
      </c>
      <c r="K4368" s="3" t="s">
        <v>38</v>
      </c>
    </row>
    <row r="4369" spans="1:11" ht="42" customHeight="1">
      <c r="A4369" s="2" t="s">
        <v>10441</v>
      </c>
      <c r="B4369" s="2" t="s">
        <v>10441</v>
      </c>
      <c r="C4369" s="2" t="s">
        <v>97</v>
      </c>
      <c r="D4369" s="2" t="s">
        <v>18</v>
      </c>
      <c r="E4369" s="5">
        <v>-29740</v>
      </c>
      <c r="F4369" s="3" t="s">
        <v>152</v>
      </c>
      <c r="G4369" s="3" t="s">
        <v>85</v>
      </c>
      <c r="H4369" s="2" t="s">
        <v>36</v>
      </c>
      <c r="I4369" s="2" t="s">
        <v>10442</v>
      </c>
      <c r="J4369" s="3" t="str">
        <f>HYPERLINK("https://www.boe.es/gazeta/dias/1818/07/28/pdfs/GMD-1818-90.pdf#page=3","Abrir facsímil")</f>
        <v>Abrir facsímil</v>
      </c>
      <c r="K4369" s="3" t="s">
        <v>38</v>
      </c>
    </row>
    <row r="4370" spans="1:11" ht="42" customHeight="1">
      <c r="A4370" s="2" t="s">
        <v>10443</v>
      </c>
      <c r="B4370" s="2" t="s">
        <v>10443</v>
      </c>
      <c r="C4370" s="2" t="s">
        <v>26</v>
      </c>
      <c r="D4370" s="2" t="s">
        <v>27</v>
      </c>
      <c r="E4370" s="5">
        <v>-29820</v>
      </c>
      <c r="F4370" s="3" t="s">
        <v>2971</v>
      </c>
      <c r="G4370" s="3" t="s">
        <v>85</v>
      </c>
      <c r="H4370" s="2" t="s">
        <v>36</v>
      </c>
      <c r="I4370" s="2" t="s">
        <v>10444</v>
      </c>
      <c r="J4370" s="3" t="str">
        <f>HYPERLINK("https://www.boe.es/gazeta/dias/1818/05/09/pdfs/GMD-1818-56.pdf#page=3","Abrir facsímil")</f>
        <v>Abrir facsímil</v>
      </c>
      <c r="K4370" s="3" t="s">
        <v>38</v>
      </c>
    </row>
    <row r="4371" spans="1:11" ht="42" customHeight="1">
      <c r="A4371" s="2" t="s">
        <v>10443</v>
      </c>
      <c r="B4371" s="2" t="s">
        <v>10443</v>
      </c>
      <c r="C4371" s="2" t="s">
        <v>26</v>
      </c>
      <c r="D4371" s="2" t="s">
        <v>27</v>
      </c>
      <c r="E4371" s="5">
        <v>-29659</v>
      </c>
      <c r="F4371" s="3" t="s">
        <v>1690</v>
      </c>
      <c r="G4371" s="3" t="s">
        <v>29</v>
      </c>
      <c r="H4371" s="2" t="s">
        <v>36</v>
      </c>
      <c r="I4371" s="2" t="s">
        <v>10445</v>
      </c>
      <c r="J4371" s="3" t="str">
        <f>HYPERLINK("https://www.boe.es/gazeta/dias/1818/10/17/pdfs/GMD-1818-126.pdf#page=4","Abrir facsímil")</f>
        <v>Abrir facsímil</v>
      </c>
      <c r="K4371" s="3" t="s">
        <v>38</v>
      </c>
    </row>
    <row r="4372" spans="1:11" ht="42" customHeight="1">
      <c r="A4372" s="2" t="s">
        <v>10446</v>
      </c>
      <c r="B4372" s="2" t="s">
        <v>10446</v>
      </c>
      <c r="C4372" s="2" t="s">
        <v>26</v>
      </c>
      <c r="D4372" s="2" t="s">
        <v>27</v>
      </c>
      <c r="E4372" s="5">
        <v>-29670</v>
      </c>
      <c r="F4372" s="3" t="s">
        <v>48</v>
      </c>
      <c r="G4372" s="3" t="s">
        <v>29</v>
      </c>
      <c r="H4372" s="2" t="s">
        <v>36</v>
      </c>
      <c r="I4372" s="2" t="s">
        <v>10447</v>
      </c>
      <c r="J4372" s="3" t="str">
        <f>HYPERLINK("https://www.boe.es/gazeta/dias/1818/10/06/pdfs/GMD-1818-120.pdf#page=4","Abrir facsímil")</f>
        <v>Abrir facsímil</v>
      </c>
      <c r="K4372" s="3" t="s">
        <v>38</v>
      </c>
    </row>
    <row r="4373" spans="1:11" ht="42" customHeight="1">
      <c r="A4373" s="2" t="s">
        <v>10448</v>
      </c>
      <c r="B4373" s="2" t="s">
        <v>10448</v>
      </c>
      <c r="C4373" s="2" t="s">
        <v>215</v>
      </c>
      <c r="D4373" s="2" t="s">
        <v>18</v>
      </c>
      <c r="E4373" s="5">
        <v>-29845</v>
      </c>
      <c r="F4373" s="3" t="s">
        <v>105</v>
      </c>
      <c r="G4373" s="3" t="s">
        <v>85</v>
      </c>
      <c r="H4373" s="2" t="s">
        <v>36</v>
      </c>
      <c r="I4373" s="2" t="s">
        <v>10449</v>
      </c>
      <c r="J4373" s="3" t="str">
        <f>HYPERLINK("https://www.boe.es/gazeta/dias/1818/04/14/pdfs/GMD-1818-45.pdf#page=3","Abrir facsímil")</f>
        <v>Abrir facsímil</v>
      </c>
      <c r="K4373" s="3" t="s">
        <v>38</v>
      </c>
    </row>
    <row r="4374" spans="1:11" ht="42" customHeight="1">
      <c r="A4374" s="2" t="s">
        <v>10448</v>
      </c>
      <c r="B4374" s="2" t="s">
        <v>10448</v>
      </c>
      <c r="C4374" s="2" t="s">
        <v>57</v>
      </c>
      <c r="D4374" s="2" t="s">
        <v>18</v>
      </c>
      <c r="E4374" s="5">
        <v>-29831</v>
      </c>
      <c r="F4374" s="3" t="s">
        <v>567</v>
      </c>
      <c r="G4374" s="3" t="s">
        <v>120</v>
      </c>
      <c r="H4374" s="2" t="s">
        <v>36</v>
      </c>
      <c r="I4374" s="2" t="s">
        <v>10450</v>
      </c>
      <c r="J4374" s="3" t="str">
        <f>HYPERLINK("https://www.boe.es/gazeta/dias/1818/04/28/pdfs/GMD-1818-51.pdf#page=2","Abrir facsímil")</f>
        <v>Abrir facsímil</v>
      </c>
      <c r="K4374" s="3" t="s">
        <v>38</v>
      </c>
    </row>
    <row r="4375" spans="1:11" ht="42" customHeight="1">
      <c r="A4375" s="2" t="s">
        <v>10448</v>
      </c>
      <c r="B4375" s="2" t="s">
        <v>10448</v>
      </c>
      <c r="C4375" s="2" t="s">
        <v>26</v>
      </c>
      <c r="D4375" s="2" t="s">
        <v>27</v>
      </c>
      <c r="E4375" s="5">
        <v>-29829</v>
      </c>
      <c r="F4375" s="3" t="s">
        <v>44</v>
      </c>
      <c r="G4375" s="3" t="s">
        <v>85</v>
      </c>
      <c r="H4375" s="2" t="s">
        <v>36</v>
      </c>
      <c r="I4375" s="2" t="s">
        <v>10451</v>
      </c>
      <c r="J4375" s="3" t="str">
        <f>HYPERLINK("https://www.boe.es/gazeta/dias/1818/04/30/pdfs/GMD-1818-52.pdf#page=3","Abrir facsímil")</f>
        <v>Abrir facsímil</v>
      </c>
      <c r="K4375" s="3" t="s">
        <v>38</v>
      </c>
    </row>
    <row r="4376" spans="1:11" ht="42" customHeight="1">
      <c r="A4376" s="2" t="s">
        <v>10448</v>
      </c>
      <c r="B4376" s="2" t="s">
        <v>10448</v>
      </c>
      <c r="C4376" s="2" t="s">
        <v>17</v>
      </c>
      <c r="D4376" s="2" t="s">
        <v>18</v>
      </c>
      <c r="E4376" s="5">
        <v>-29759</v>
      </c>
      <c r="F4376" s="3" t="s">
        <v>405</v>
      </c>
      <c r="G4376" s="3" t="s">
        <v>106</v>
      </c>
      <c r="H4376" s="2" t="s">
        <v>36</v>
      </c>
      <c r="I4376" s="2" t="s">
        <v>10452</v>
      </c>
      <c r="J4376" s="3" t="str">
        <f>HYPERLINK("https://www.boe.es/gazeta/dias/1818/07/09/pdfs/GMD-1818-82.pdf#page=5","Abrir facsímil")</f>
        <v>Abrir facsímil</v>
      </c>
      <c r="K4376" s="3" t="s">
        <v>38</v>
      </c>
    </row>
    <row r="4377" spans="1:11" ht="42" customHeight="1">
      <c r="A4377" s="2" t="s">
        <v>10448</v>
      </c>
      <c r="B4377" s="2" t="s">
        <v>10448</v>
      </c>
      <c r="C4377" s="2" t="s">
        <v>17</v>
      </c>
      <c r="D4377" s="2" t="s">
        <v>18</v>
      </c>
      <c r="E4377" s="5">
        <v>-29696</v>
      </c>
      <c r="F4377" s="3" t="s">
        <v>1716</v>
      </c>
      <c r="G4377" s="3" t="s">
        <v>120</v>
      </c>
      <c r="H4377" s="2" t="s">
        <v>36</v>
      </c>
      <c r="I4377" s="2" t="s">
        <v>10453</v>
      </c>
      <c r="J4377" s="3" t="str">
        <f>HYPERLINK("https://www.boe.es/gazeta/dias/1818/09/10/pdfs/GMD-1818-109.pdf#page=2","Abrir facsímil")</f>
        <v>Abrir facsímil</v>
      </c>
      <c r="K4377" s="3" t="s">
        <v>38</v>
      </c>
    </row>
    <row r="4378" spans="1:11" ht="42" customHeight="1">
      <c r="A4378" s="2" t="s">
        <v>10448</v>
      </c>
      <c r="B4378" s="2" t="s">
        <v>10448</v>
      </c>
      <c r="C4378" s="2" t="s">
        <v>215</v>
      </c>
      <c r="D4378" s="2" t="s">
        <v>18</v>
      </c>
      <c r="E4378" s="5">
        <v>-29696</v>
      </c>
      <c r="F4378" s="3" t="s">
        <v>1716</v>
      </c>
      <c r="G4378" s="3" t="s">
        <v>85</v>
      </c>
      <c r="H4378" s="2" t="s">
        <v>36</v>
      </c>
      <c r="I4378" s="2" t="s">
        <v>10454</v>
      </c>
      <c r="J4378" s="3" t="str">
        <f>HYPERLINK("https://www.boe.es/gazeta/dias/1818/09/10/pdfs/GMD-1818-109.pdf#page=3","Abrir facsímil")</f>
        <v>Abrir facsímil</v>
      </c>
      <c r="K4378" s="3" t="s">
        <v>38</v>
      </c>
    </row>
    <row r="4379" spans="1:11" ht="42" customHeight="1">
      <c r="A4379" s="2" t="s">
        <v>10455</v>
      </c>
      <c r="B4379" s="2" t="s">
        <v>10455</v>
      </c>
      <c r="C4379" s="2" t="s">
        <v>26</v>
      </c>
      <c r="D4379" s="2" t="s">
        <v>27</v>
      </c>
      <c r="E4379" s="5">
        <v>-29668</v>
      </c>
      <c r="F4379" s="3" t="s">
        <v>2219</v>
      </c>
      <c r="G4379" s="3" t="s">
        <v>106</v>
      </c>
      <c r="H4379" s="2" t="s">
        <v>36</v>
      </c>
      <c r="I4379" s="2" t="s">
        <v>10456</v>
      </c>
      <c r="J4379" s="3" t="str">
        <f>HYPERLINK("https://www.boe.es/gazeta/dias/1818/10/08/pdfs/GMD-1818-121.pdf#page=5","Abrir facsímil")</f>
        <v>Abrir facsímil</v>
      </c>
      <c r="K4379" s="3" t="s">
        <v>38</v>
      </c>
    </row>
    <row r="4380" spans="1:11" ht="42" customHeight="1">
      <c r="A4380" s="2" t="s">
        <v>10448</v>
      </c>
      <c r="B4380" s="2" t="s">
        <v>10448</v>
      </c>
      <c r="C4380" s="2" t="s">
        <v>26</v>
      </c>
      <c r="D4380" s="2" t="s">
        <v>27</v>
      </c>
      <c r="E4380" s="5">
        <v>-29663</v>
      </c>
      <c r="F4380" s="3" t="s">
        <v>1011</v>
      </c>
      <c r="G4380" s="3" t="s">
        <v>29</v>
      </c>
      <c r="H4380" s="2" t="s">
        <v>36</v>
      </c>
      <c r="I4380" s="2" t="s">
        <v>10457</v>
      </c>
      <c r="J4380" s="3" t="str">
        <f>HYPERLINK("https://www.boe.es/gazeta/dias/1818/10/13/pdfs/GMD-1818-123.pdf#page=4","Abrir facsímil")</f>
        <v>Abrir facsímil</v>
      </c>
      <c r="K4380" s="3" t="s">
        <v>38</v>
      </c>
    </row>
    <row r="4381" spans="1:11" ht="42" customHeight="1">
      <c r="A4381" s="2" t="s">
        <v>10458</v>
      </c>
      <c r="B4381" s="2" t="s">
        <v>10458</v>
      </c>
      <c r="C4381" s="2" t="s">
        <v>68</v>
      </c>
      <c r="D4381" s="2" t="s">
        <v>69</v>
      </c>
      <c r="E4381" s="5">
        <v>-29922</v>
      </c>
      <c r="F4381" s="3" t="s">
        <v>174</v>
      </c>
      <c r="G4381" s="3" t="s">
        <v>120</v>
      </c>
      <c r="H4381" s="2" t="s">
        <v>36</v>
      </c>
      <c r="I4381" s="2" t="s">
        <v>10459</v>
      </c>
      <c r="J4381" s="3" t="str">
        <f>HYPERLINK("https://www.boe.es/gazeta/dias/1818/01/27/pdfs/GMD-1818-12.pdf#page=2","Abrir facsímil")</f>
        <v>Abrir facsímil</v>
      </c>
      <c r="K4381" s="3" t="s">
        <v>38</v>
      </c>
    </row>
    <row r="4382" spans="1:11" ht="42" customHeight="1">
      <c r="A4382" s="2" t="s">
        <v>10460</v>
      </c>
      <c r="B4382" s="2" t="s">
        <v>10460</v>
      </c>
      <c r="C4382" s="2" t="s">
        <v>26</v>
      </c>
      <c r="D4382" s="2" t="s">
        <v>27</v>
      </c>
      <c r="E4382" s="5">
        <v>-29656</v>
      </c>
      <c r="F4382" s="3" t="s">
        <v>601</v>
      </c>
      <c r="G4382" s="3" t="s">
        <v>85</v>
      </c>
      <c r="H4382" s="2" t="s">
        <v>36</v>
      </c>
      <c r="I4382" s="2" t="s">
        <v>10461</v>
      </c>
      <c r="J4382" s="3" t="str">
        <f>HYPERLINK("https://www.boe.es/gazeta/dias/1818/10/20/pdfs/GMD-1818-127.pdf#page=3","Abrir facsímil")</f>
        <v>Abrir facsímil</v>
      </c>
      <c r="K4382" s="3" t="s">
        <v>38</v>
      </c>
    </row>
    <row r="4383" spans="1:11" ht="42" customHeight="1">
      <c r="A4383" s="2" t="s">
        <v>10462</v>
      </c>
      <c r="B4383" s="2" t="s">
        <v>10462</v>
      </c>
      <c r="C4383" s="2" t="s">
        <v>26</v>
      </c>
      <c r="D4383" s="2" t="s">
        <v>27</v>
      </c>
      <c r="E4383" s="5">
        <v>-29943</v>
      </c>
      <c r="F4383" s="3" t="s">
        <v>1837</v>
      </c>
      <c r="G4383" s="3" t="s">
        <v>2094</v>
      </c>
      <c r="H4383" s="2" t="s">
        <v>36</v>
      </c>
      <c r="I4383" s="2" t="s">
        <v>10463</v>
      </c>
      <c r="J4383" s="3" t="str">
        <f>HYPERLINK("https://www.boe.es/gazeta/dias/1818/01/06/pdfs/GMD-1818-3.pdf#page=4","Abrir facsímil")</f>
        <v>Abrir facsímil</v>
      </c>
      <c r="K4383" s="3" t="s">
        <v>38</v>
      </c>
    </row>
    <row r="4384" spans="1:11" ht="42" customHeight="1">
      <c r="A4384" s="2" t="s">
        <v>10462</v>
      </c>
      <c r="B4384" s="2" t="s">
        <v>10462</v>
      </c>
      <c r="C4384" s="2" t="s">
        <v>26</v>
      </c>
      <c r="D4384" s="2" t="s">
        <v>27</v>
      </c>
      <c r="E4384" s="5">
        <v>-29864</v>
      </c>
      <c r="F4384" s="3" t="s">
        <v>196</v>
      </c>
      <c r="G4384" s="3" t="s">
        <v>85</v>
      </c>
      <c r="H4384" s="2" t="s">
        <v>36</v>
      </c>
      <c r="I4384" s="2" t="s">
        <v>10464</v>
      </c>
      <c r="J4384" s="3" t="str">
        <f>HYPERLINK("https://www.boe.es/gazeta/dias/1818/03/26/pdfs/GMD-1818-37.pdf#page=3","Abrir facsímil")</f>
        <v>Abrir facsímil</v>
      </c>
      <c r="K4384" s="3" t="s">
        <v>38</v>
      </c>
    </row>
    <row r="4385" spans="1:11" ht="42" customHeight="1">
      <c r="A4385" s="2" t="s">
        <v>10465</v>
      </c>
      <c r="B4385" s="2" t="s">
        <v>10466</v>
      </c>
      <c r="C4385" s="2" t="s">
        <v>33</v>
      </c>
      <c r="D4385" s="2" t="s">
        <v>18</v>
      </c>
      <c r="E4385" s="5">
        <v>-29712</v>
      </c>
      <c r="F4385" s="3" t="s">
        <v>1309</v>
      </c>
      <c r="G4385" s="3" t="s">
        <v>1310</v>
      </c>
      <c r="H4385" s="2" t="s">
        <v>36</v>
      </c>
      <c r="I4385" s="2" t="s">
        <v>10467</v>
      </c>
      <c r="J4385" s="3" t="str">
        <f>HYPERLINK("https://www.boe.es/gazeta/dias/1818/08/25/pdfs/GMD-1818-102.pdf#page=8","Abrir facsímil")</f>
        <v>Abrir facsímil</v>
      </c>
      <c r="K4385" s="3" t="s">
        <v>38</v>
      </c>
    </row>
    <row r="4386" spans="1:11" ht="42" customHeight="1">
      <c r="A4386" s="2" t="s">
        <v>10468</v>
      </c>
      <c r="B4386" s="2" t="s">
        <v>10468</v>
      </c>
      <c r="C4386" s="2" t="s">
        <v>17</v>
      </c>
      <c r="D4386" s="2" t="s">
        <v>18</v>
      </c>
      <c r="E4386" s="5">
        <v>-29628</v>
      </c>
      <c r="F4386" s="3" t="s">
        <v>58</v>
      </c>
      <c r="G4386" s="3" t="s">
        <v>120</v>
      </c>
      <c r="H4386" s="2" t="s">
        <v>36</v>
      </c>
      <c r="I4386" s="2" t="s">
        <v>10469</v>
      </c>
      <c r="J4386" s="3" t="str">
        <f>HYPERLINK("https://www.boe.es/gazeta/dias/1818/11/17/pdfs/GMD-1818-139.pdf#page=2","Abrir facsímil")</f>
        <v>Abrir facsímil</v>
      </c>
      <c r="K4386" s="3" t="s">
        <v>38</v>
      </c>
    </row>
    <row r="4387" spans="1:11" ht="42" customHeight="1">
      <c r="A4387" s="2" t="s">
        <v>10470</v>
      </c>
      <c r="B4387" s="2" t="s">
        <v>10470</v>
      </c>
      <c r="C4387" s="2" t="s">
        <v>26</v>
      </c>
      <c r="D4387" s="2" t="s">
        <v>27</v>
      </c>
      <c r="E4387" s="5">
        <v>-29773</v>
      </c>
      <c r="F4387" s="3" t="s">
        <v>424</v>
      </c>
      <c r="G4387" s="3" t="s">
        <v>49</v>
      </c>
      <c r="H4387" s="2" t="s">
        <v>36</v>
      </c>
      <c r="I4387" s="2" t="s">
        <v>10471</v>
      </c>
      <c r="J4387" s="3" t="str">
        <f>HYPERLINK("https://www.boe.es/gazeta/dias/1818/06/25/pdfs/GMD-1818-76.pdf#page=1","Abrir facsímil")</f>
        <v>Abrir facsímil</v>
      </c>
      <c r="K4387" s="3" t="s">
        <v>38</v>
      </c>
    </row>
    <row r="4388" spans="1:11" ht="42" customHeight="1">
      <c r="A4388" s="2" t="s">
        <v>10472</v>
      </c>
      <c r="B4388" s="2" t="s">
        <v>10472</v>
      </c>
      <c r="C4388" s="2" t="s">
        <v>26</v>
      </c>
      <c r="D4388" s="2" t="s">
        <v>27</v>
      </c>
      <c r="E4388" s="5">
        <v>-29663</v>
      </c>
      <c r="F4388" s="3" t="s">
        <v>1011</v>
      </c>
      <c r="G4388" s="3" t="s">
        <v>85</v>
      </c>
      <c r="H4388" s="2" t="s">
        <v>36</v>
      </c>
      <c r="I4388" s="2" t="s">
        <v>10473</v>
      </c>
      <c r="J4388" s="3" t="str">
        <f>HYPERLINK("https://www.boe.es/gazeta/dias/1818/10/13/pdfs/GMD-1818-123.pdf#page=3","Abrir facsímil")</f>
        <v>Abrir facsímil</v>
      </c>
      <c r="K4388" s="3" t="s">
        <v>38</v>
      </c>
    </row>
    <row r="4389" spans="1:11" ht="42" customHeight="1">
      <c r="A4389" s="2" t="s">
        <v>10474</v>
      </c>
      <c r="B4389" s="2" t="s">
        <v>10474</v>
      </c>
      <c r="C4389" s="2" t="s">
        <v>26</v>
      </c>
      <c r="D4389" s="2" t="s">
        <v>27</v>
      </c>
      <c r="E4389" s="5">
        <v>-29792</v>
      </c>
      <c r="F4389" s="3" t="s">
        <v>948</v>
      </c>
      <c r="G4389" s="3" t="s">
        <v>59</v>
      </c>
      <c r="H4389" s="2" t="s">
        <v>36</v>
      </c>
      <c r="I4389" s="2" t="s">
        <v>10475</v>
      </c>
      <c r="J4389" s="3" t="str">
        <f>HYPERLINK("https://www.boe.es/gazeta/dias/1818/06/06/pdfs/GMD-1818-68.pdf#page=6","Abrir facsímil")</f>
        <v>Abrir facsímil</v>
      </c>
      <c r="K4389" s="3" t="s">
        <v>38</v>
      </c>
    </row>
    <row r="4390" spans="1:11" ht="42" customHeight="1">
      <c r="A4390" s="2" t="s">
        <v>10476</v>
      </c>
      <c r="B4390" s="2" t="s">
        <v>10476</v>
      </c>
      <c r="C4390" s="2" t="s">
        <v>26</v>
      </c>
      <c r="D4390" s="2" t="s">
        <v>27</v>
      </c>
      <c r="E4390" s="5">
        <v>-29852</v>
      </c>
      <c r="F4390" s="3" t="s">
        <v>327</v>
      </c>
      <c r="G4390" s="3" t="s">
        <v>85</v>
      </c>
      <c r="H4390" s="2" t="s">
        <v>36</v>
      </c>
      <c r="I4390" s="2" t="s">
        <v>10477</v>
      </c>
      <c r="J4390" s="3" t="str">
        <f>HYPERLINK("https://www.boe.es/gazeta/dias/1818/04/07/pdfs/GMD-1818-42.pdf#page=3","Abrir facsímil")</f>
        <v>Abrir facsímil</v>
      </c>
      <c r="K4390" s="3" t="s">
        <v>38</v>
      </c>
    </row>
    <row r="4391" spans="1:11" ht="42" customHeight="1">
      <c r="A4391" s="2" t="s">
        <v>10478</v>
      </c>
      <c r="B4391" s="2" t="s">
        <v>10478</v>
      </c>
      <c r="C4391" s="2" t="s">
        <v>26</v>
      </c>
      <c r="D4391" s="2" t="s">
        <v>27</v>
      </c>
      <c r="E4391" s="5">
        <v>-29689</v>
      </c>
      <c r="F4391" s="3" t="s">
        <v>303</v>
      </c>
      <c r="G4391" s="3" t="s">
        <v>1779</v>
      </c>
      <c r="H4391" s="2" t="s">
        <v>36</v>
      </c>
      <c r="I4391" s="2" t="s">
        <v>10479</v>
      </c>
      <c r="J4391" s="3" t="str">
        <f>HYPERLINK("https://www.boe.es/gazeta/dias/1818/09/17/pdfs/GMD-1818-112.pdf#page=3","Abrir facsímil")</f>
        <v>Abrir facsímil</v>
      </c>
      <c r="K4391" s="3" t="s">
        <v>38</v>
      </c>
    </row>
    <row r="4392" spans="1:11" ht="42" customHeight="1">
      <c r="A4392" s="2" t="s">
        <v>10480</v>
      </c>
      <c r="B4392" s="2" t="s">
        <v>10480</v>
      </c>
      <c r="C4392" s="2" t="s">
        <v>26</v>
      </c>
      <c r="D4392" s="2" t="s">
        <v>27</v>
      </c>
      <c r="E4392" s="5">
        <v>-29675</v>
      </c>
      <c r="F4392" s="3" t="s">
        <v>2314</v>
      </c>
      <c r="G4392" s="3" t="s">
        <v>85</v>
      </c>
      <c r="H4392" s="2" t="s">
        <v>36</v>
      </c>
      <c r="I4392" s="2" t="s">
        <v>10481</v>
      </c>
      <c r="J4392" s="3" t="str">
        <f>HYPERLINK("https://www.boe.es/gazeta/dias/1818/10/01/pdfs/GMD-1818-118.pdf#page=3","Abrir facsímil")</f>
        <v>Abrir facsímil</v>
      </c>
      <c r="K4392" s="3" t="s">
        <v>38</v>
      </c>
    </row>
    <row r="4393" spans="1:11" ht="42" customHeight="1">
      <c r="A4393" s="2" t="s">
        <v>10478</v>
      </c>
      <c r="B4393" s="2" t="s">
        <v>10478</v>
      </c>
      <c r="C4393" s="2" t="s">
        <v>26</v>
      </c>
      <c r="D4393" s="2" t="s">
        <v>27</v>
      </c>
      <c r="E4393" s="5">
        <v>-29645</v>
      </c>
      <c r="F4393" s="3" t="s">
        <v>577</v>
      </c>
      <c r="G4393" s="3" t="s">
        <v>85</v>
      </c>
      <c r="H4393" s="2" t="s">
        <v>36</v>
      </c>
      <c r="I4393" s="2" t="s">
        <v>10482</v>
      </c>
      <c r="J4393" s="3" t="str">
        <f>HYPERLINK("https://www.boe.es/gazeta/dias/1818/10/31/pdfs/GMD-1818-132.pdf#page=3","Abrir facsímil")</f>
        <v>Abrir facsímil</v>
      </c>
      <c r="K4393" s="3" t="s">
        <v>38</v>
      </c>
    </row>
    <row r="4394" spans="1:11" ht="42" customHeight="1">
      <c r="A4394" s="2" t="s">
        <v>10483</v>
      </c>
      <c r="B4394" s="2" t="s">
        <v>10484</v>
      </c>
      <c r="C4394" s="2" t="s">
        <v>215</v>
      </c>
      <c r="D4394" s="2" t="s">
        <v>18</v>
      </c>
      <c r="E4394" s="5">
        <v>-29943</v>
      </c>
      <c r="F4394" s="3" t="s">
        <v>1837</v>
      </c>
      <c r="G4394" s="3" t="s">
        <v>85</v>
      </c>
      <c r="H4394" s="2" t="s">
        <v>36</v>
      </c>
      <c r="I4394" s="2" t="s">
        <v>10485</v>
      </c>
      <c r="J4394" s="3" t="str">
        <f>HYPERLINK("https://www.boe.es/gazeta/dias/1818/01/06/pdfs/GMD-1818-3.pdf#page=3","Abrir facsímil")</f>
        <v>Abrir facsímil</v>
      </c>
      <c r="K4394" s="3" t="s">
        <v>38</v>
      </c>
    </row>
    <row r="4395" spans="1:11" ht="42" customHeight="1">
      <c r="A4395" s="2" t="s">
        <v>10486</v>
      </c>
      <c r="B4395" s="2" t="s">
        <v>10487</v>
      </c>
      <c r="C4395" s="2" t="s">
        <v>26</v>
      </c>
      <c r="D4395" s="2" t="s">
        <v>27</v>
      </c>
      <c r="E4395" s="5">
        <v>-29691</v>
      </c>
      <c r="F4395" s="3" t="s">
        <v>144</v>
      </c>
      <c r="G4395" s="3" t="s">
        <v>49</v>
      </c>
      <c r="H4395" s="2" t="s">
        <v>36</v>
      </c>
      <c r="I4395" s="2" t="s">
        <v>10488</v>
      </c>
      <c r="J4395" s="3" t="str">
        <f>HYPERLINK("https://www.boe.es/gazeta/dias/1818/09/15/pdfs/GMD-1818-111.pdf#page=1","Abrir facsímil")</f>
        <v>Abrir facsímil</v>
      </c>
      <c r="K4395" s="3" t="s">
        <v>38</v>
      </c>
    </row>
    <row r="4396" spans="1:11" ht="42" customHeight="1">
      <c r="A4396" s="2" t="s">
        <v>10489</v>
      </c>
      <c r="B4396" s="2" t="s">
        <v>10490</v>
      </c>
      <c r="C4396" s="2" t="s">
        <v>17</v>
      </c>
      <c r="D4396" s="2" t="s">
        <v>18</v>
      </c>
      <c r="E4396" s="5">
        <v>-29759</v>
      </c>
      <c r="F4396" s="3" t="s">
        <v>405</v>
      </c>
      <c r="G4396" s="3" t="s">
        <v>85</v>
      </c>
      <c r="H4396" s="2" t="s">
        <v>36</v>
      </c>
      <c r="I4396" s="2" t="s">
        <v>10491</v>
      </c>
      <c r="J4396" s="3" t="str">
        <f>HYPERLINK("https://www.boe.es/gazeta/dias/1818/07/09/pdfs/GMD-1818-82.pdf#page=3","Abrir facsímil")</f>
        <v>Abrir facsímil</v>
      </c>
      <c r="K4396" s="3" t="s">
        <v>38</v>
      </c>
    </row>
    <row r="4397" spans="1:11" ht="42" customHeight="1">
      <c r="A4397" s="2" t="s">
        <v>10489</v>
      </c>
      <c r="B4397" s="2" t="s">
        <v>10490</v>
      </c>
      <c r="C4397" s="2" t="s">
        <v>26</v>
      </c>
      <c r="D4397" s="2" t="s">
        <v>27</v>
      </c>
      <c r="E4397" s="5">
        <v>-29738</v>
      </c>
      <c r="F4397" s="3" t="s">
        <v>263</v>
      </c>
      <c r="G4397" s="3" t="s">
        <v>120</v>
      </c>
      <c r="H4397" s="2" t="s">
        <v>36</v>
      </c>
      <c r="I4397" s="2" t="s">
        <v>10492</v>
      </c>
      <c r="J4397" s="3" t="str">
        <f>HYPERLINK("https://www.boe.es/gazeta/dias/1818/07/30/pdfs/GMD-1818-91.pdf#page=2","Abrir facsímil")</f>
        <v>Abrir facsímil</v>
      </c>
      <c r="K4397" s="3" t="s">
        <v>38</v>
      </c>
    </row>
    <row r="4398" spans="1:11" ht="42" customHeight="1">
      <c r="A4398" s="2" t="s">
        <v>10493</v>
      </c>
      <c r="B4398" s="2" t="s">
        <v>10494</v>
      </c>
      <c r="C4398" s="2" t="s">
        <v>26</v>
      </c>
      <c r="D4398" s="2" t="s">
        <v>27</v>
      </c>
      <c r="E4398" s="5">
        <v>-29904</v>
      </c>
      <c r="F4398" s="3" t="s">
        <v>451</v>
      </c>
      <c r="G4398" s="3" t="s">
        <v>20</v>
      </c>
      <c r="H4398" s="2" t="s">
        <v>36</v>
      </c>
      <c r="I4398" s="2" t="s">
        <v>10495</v>
      </c>
      <c r="J4398" s="3" t="str">
        <f>HYPERLINK("https://www.boe.es/gazeta/dias/1818/02/14/pdfs/GMD-1818-20.pdf#page=7","Abrir facsímil")</f>
        <v>Abrir facsímil</v>
      </c>
      <c r="K4398" s="3" t="s">
        <v>38</v>
      </c>
    </row>
    <row r="4399" spans="1:11" ht="42" customHeight="1">
      <c r="A4399" s="2" t="s">
        <v>10496</v>
      </c>
      <c r="B4399" s="2" t="s">
        <v>10497</v>
      </c>
      <c r="C4399" s="2" t="s">
        <v>97</v>
      </c>
      <c r="D4399" s="2" t="s">
        <v>18</v>
      </c>
      <c r="E4399" s="5">
        <v>-29829</v>
      </c>
      <c r="F4399" s="3" t="s">
        <v>44</v>
      </c>
      <c r="G4399" s="3" t="s">
        <v>45</v>
      </c>
      <c r="H4399" s="2" t="s">
        <v>36</v>
      </c>
      <c r="I4399" s="2" t="s">
        <v>10498</v>
      </c>
      <c r="J4399" s="3" t="str">
        <f>HYPERLINK("https://www.boe.es/gazeta/dias/1818/04/30/pdfs/GMD-1818-52.pdf#page=8","Abrir facsímil")</f>
        <v>Abrir facsímil</v>
      </c>
      <c r="K4399" s="3" t="s">
        <v>38</v>
      </c>
    </row>
    <row r="4400" spans="1:11" ht="42" customHeight="1">
      <c r="A4400" s="2" t="s">
        <v>10499</v>
      </c>
      <c r="B4400" s="2" t="s">
        <v>10500</v>
      </c>
      <c r="C4400" s="2" t="s">
        <v>26</v>
      </c>
      <c r="D4400" s="2" t="s">
        <v>27</v>
      </c>
      <c r="E4400" s="5">
        <v>-29710</v>
      </c>
      <c r="F4400" s="3" t="s">
        <v>1026</v>
      </c>
      <c r="G4400" s="3" t="s">
        <v>1027</v>
      </c>
      <c r="H4400" s="2" t="s">
        <v>36</v>
      </c>
      <c r="I4400" s="2" t="s">
        <v>10501</v>
      </c>
      <c r="J4400" s="3" t="str">
        <f>HYPERLINK("https://www.boe.es/gazeta/dias/1818/08/27/pdfs/GMD-1818-103.pdf#page=6","Abrir facsímil")</f>
        <v>Abrir facsímil</v>
      </c>
      <c r="K4400" s="3" t="s">
        <v>38</v>
      </c>
    </row>
    <row r="4401" spans="1:11" ht="42" customHeight="1">
      <c r="A4401" s="2" t="s">
        <v>10502</v>
      </c>
      <c r="B4401" s="2" t="s">
        <v>10503</v>
      </c>
      <c r="C4401" s="2" t="s">
        <v>33</v>
      </c>
      <c r="D4401" s="2" t="s">
        <v>18</v>
      </c>
      <c r="E4401" s="5">
        <v>-29750</v>
      </c>
      <c r="F4401" s="3" t="s">
        <v>384</v>
      </c>
      <c r="G4401" s="3" t="s">
        <v>116</v>
      </c>
      <c r="H4401" s="2" t="s">
        <v>36</v>
      </c>
      <c r="I4401" s="2" t="s">
        <v>10504</v>
      </c>
      <c r="J4401" s="3" t="str">
        <f>HYPERLINK("https://www.boe.es/gazeta/dias/1818/07/18/pdfs/GMD-1818-86.pdf#page=12","Abrir facsímil")</f>
        <v>Abrir facsímil</v>
      </c>
      <c r="K4401" s="3" t="s">
        <v>38</v>
      </c>
    </row>
    <row r="4402" spans="1:11" ht="42" customHeight="1">
      <c r="A4402" s="2" t="s">
        <v>10505</v>
      </c>
      <c r="B4402" s="2" t="s">
        <v>10505</v>
      </c>
      <c r="C4402" s="2" t="s">
        <v>26</v>
      </c>
      <c r="D4402" s="2" t="s">
        <v>27</v>
      </c>
      <c r="E4402" s="5">
        <v>-29710</v>
      </c>
      <c r="F4402" s="3" t="s">
        <v>1026</v>
      </c>
      <c r="G4402" s="3" t="s">
        <v>1027</v>
      </c>
      <c r="H4402" s="2" t="s">
        <v>36</v>
      </c>
      <c r="I4402" s="2" t="s">
        <v>10506</v>
      </c>
      <c r="J4402" s="3" t="str">
        <f>HYPERLINK("https://www.boe.es/gazeta/dias/1818/08/27/pdfs/GMD-1818-103.pdf#page=6","Abrir facsímil")</f>
        <v>Abrir facsímil</v>
      </c>
      <c r="K4402" s="3" t="s">
        <v>38</v>
      </c>
    </row>
    <row r="4403" spans="1:11" ht="42" customHeight="1">
      <c r="A4403" s="2" t="s">
        <v>10507</v>
      </c>
      <c r="B4403" s="2" t="s">
        <v>10508</v>
      </c>
      <c r="C4403" s="2" t="s">
        <v>26</v>
      </c>
      <c r="D4403" s="2" t="s">
        <v>27</v>
      </c>
      <c r="E4403" s="5">
        <v>-29920</v>
      </c>
      <c r="F4403" s="3" t="s">
        <v>201</v>
      </c>
      <c r="G4403" s="3" t="s">
        <v>85</v>
      </c>
      <c r="H4403" s="2" t="s">
        <v>36</v>
      </c>
      <c r="I4403" s="2" t="s">
        <v>10509</v>
      </c>
      <c r="J4403" s="3" t="str">
        <f>HYPERLINK("https://www.boe.es/gazeta/dias/1818/01/29/pdfs/GMD-1818-13.pdf#page=3","Abrir facsímil")</f>
        <v>Abrir facsímil</v>
      </c>
      <c r="K4403" s="3" t="s">
        <v>38</v>
      </c>
    </row>
    <row r="4404" spans="1:11" ht="42" customHeight="1">
      <c r="A4404" s="2" t="s">
        <v>10507</v>
      </c>
      <c r="B4404" s="2" t="s">
        <v>10508</v>
      </c>
      <c r="C4404" s="2" t="s">
        <v>26</v>
      </c>
      <c r="D4404" s="2" t="s">
        <v>27</v>
      </c>
      <c r="E4404" s="5">
        <v>-29920</v>
      </c>
      <c r="F4404" s="3" t="s">
        <v>201</v>
      </c>
      <c r="G4404" s="3" t="s">
        <v>20</v>
      </c>
      <c r="H4404" s="2" t="s">
        <v>36</v>
      </c>
      <c r="I4404" s="2" t="s">
        <v>10510</v>
      </c>
      <c r="J4404" s="3" t="str">
        <f>HYPERLINK("https://www.boe.es/gazeta/dias/1818/01/29/pdfs/GMD-1818-13.pdf#page=7","Abrir facsímil")</f>
        <v>Abrir facsímil</v>
      </c>
      <c r="K4404" s="3" t="s">
        <v>38</v>
      </c>
    </row>
    <row r="4405" spans="1:11" ht="42" customHeight="1">
      <c r="A4405" s="2" t="s">
        <v>10507</v>
      </c>
      <c r="B4405" s="2" t="s">
        <v>10508</v>
      </c>
      <c r="C4405" s="2" t="s">
        <v>26</v>
      </c>
      <c r="D4405" s="2" t="s">
        <v>27</v>
      </c>
      <c r="E4405" s="5">
        <v>-29904</v>
      </c>
      <c r="F4405" s="3" t="s">
        <v>451</v>
      </c>
      <c r="G4405" s="3" t="s">
        <v>106</v>
      </c>
      <c r="H4405" s="2" t="s">
        <v>36</v>
      </c>
      <c r="I4405" s="2" t="s">
        <v>10511</v>
      </c>
      <c r="J4405" s="3" t="str">
        <f>HYPERLINK("https://www.boe.es/gazeta/dias/1818/02/14/pdfs/GMD-1818-20.pdf#page=5","Abrir facsímil")</f>
        <v>Abrir facsímil</v>
      </c>
      <c r="K4405" s="3" t="s">
        <v>38</v>
      </c>
    </row>
    <row r="4406" spans="1:11" ht="42" customHeight="1">
      <c r="A4406" s="2" t="s">
        <v>10507</v>
      </c>
      <c r="B4406" s="2" t="s">
        <v>10508</v>
      </c>
      <c r="C4406" s="2" t="s">
        <v>17</v>
      </c>
      <c r="D4406" s="2" t="s">
        <v>18</v>
      </c>
      <c r="E4406" s="5">
        <v>-29764</v>
      </c>
      <c r="F4406" s="3" t="s">
        <v>464</v>
      </c>
      <c r="G4406" s="3" t="s">
        <v>106</v>
      </c>
      <c r="H4406" s="2" t="s">
        <v>36</v>
      </c>
      <c r="I4406" s="2" t="s">
        <v>10512</v>
      </c>
      <c r="J4406" s="3" t="str">
        <f>HYPERLINK("https://www.boe.es/gazeta/dias/1818/07/04/pdfs/GMD-1818-80.pdf#page=5","Abrir facsímil")</f>
        <v>Abrir facsímil</v>
      </c>
      <c r="K4406" s="3" t="s">
        <v>38</v>
      </c>
    </row>
    <row r="4407" spans="1:11" ht="42" customHeight="1">
      <c r="A4407" s="2" t="s">
        <v>10507</v>
      </c>
      <c r="B4407" s="2" t="s">
        <v>10508</v>
      </c>
      <c r="C4407" s="2" t="s">
        <v>26</v>
      </c>
      <c r="D4407" s="2" t="s">
        <v>27</v>
      </c>
      <c r="E4407" s="5">
        <v>-29710</v>
      </c>
      <c r="F4407" s="3" t="s">
        <v>1026</v>
      </c>
      <c r="G4407" s="3" t="s">
        <v>1626</v>
      </c>
      <c r="H4407" s="2" t="s">
        <v>36</v>
      </c>
      <c r="I4407" s="2" t="s">
        <v>10513</v>
      </c>
      <c r="J4407" s="3" t="str">
        <f>HYPERLINK("https://www.boe.es/gazeta/dias/1818/08/27/pdfs/GMD-1818-103.pdf#page=8","Abrir facsímil")</f>
        <v>Abrir facsímil</v>
      </c>
      <c r="K4407" s="3" t="s">
        <v>38</v>
      </c>
    </row>
    <row r="4408" spans="1:11" ht="42" customHeight="1">
      <c r="A4408" s="2" t="s">
        <v>10514</v>
      </c>
      <c r="B4408" s="2" t="s">
        <v>10515</v>
      </c>
      <c r="C4408" s="2" t="s">
        <v>63</v>
      </c>
      <c r="D4408" s="2" t="s">
        <v>18</v>
      </c>
      <c r="E4408" s="5">
        <v>-29943</v>
      </c>
      <c r="F4408" s="3" t="s">
        <v>1837</v>
      </c>
      <c r="G4408" s="3" t="s">
        <v>45</v>
      </c>
      <c r="H4408" s="2" t="s">
        <v>36</v>
      </c>
      <c r="I4408" s="2" t="s">
        <v>10516</v>
      </c>
      <c r="J4408" s="3" t="str">
        <f>HYPERLINK("https://www.boe.es/gazeta/dias/1818/01/06/pdfs/GMD-1818-3.pdf#page=8","Abrir facsímil")</f>
        <v>Abrir facsímil</v>
      </c>
      <c r="K4408" s="3" t="s">
        <v>38</v>
      </c>
    </row>
    <row r="4409" spans="1:11" ht="42" customHeight="1">
      <c r="A4409" s="2" t="s">
        <v>10517</v>
      </c>
      <c r="B4409" s="2" t="s">
        <v>10518</v>
      </c>
      <c r="C4409" s="2" t="s">
        <v>26</v>
      </c>
      <c r="D4409" s="2" t="s">
        <v>27</v>
      </c>
      <c r="E4409" s="5">
        <v>-29897</v>
      </c>
      <c r="F4409" s="3" t="s">
        <v>318</v>
      </c>
      <c r="G4409" s="3" t="s">
        <v>106</v>
      </c>
      <c r="H4409" s="2" t="s">
        <v>36</v>
      </c>
      <c r="I4409" s="2" t="s">
        <v>10519</v>
      </c>
      <c r="J4409" s="3" t="str">
        <f>HYPERLINK("https://www.boe.es/gazeta/dias/1818/02/21/pdfs/GMD-1818-23.pdf#page=5","Abrir facsímil")</f>
        <v>Abrir facsímil</v>
      </c>
      <c r="K4409" s="3" t="s">
        <v>38</v>
      </c>
    </row>
    <row r="4410" spans="1:11" ht="42" customHeight="1">
      <c r="A4410" s="2" t="s">
        <v>10520</v>
      </c>
      <c r="B4410" s="2" t="s">
        <v>10521</v>
      </c>
      <c r="C4410" s="2" t="s">
        <v>26</v>
      </c>
      <c r="D4410" s="2" t="s">
        <v>27</v>
      </c>
      <c r="E4410" s="5">
        <v>-29908</v>
      </c>
      <c r="F4410" s="3" t="s">
        <v>695</v>
      </c>
      <c r="G4410" s="3" t="s">
        <v>45</v>
      </c>
      <c r="H4410" s="2" t="s">
        <v>36</v>
      </c>
      <c r="I4410" s="2" t="s">
        <v>10522</v>
      </c>
      <c r="J4410" s="3" t="str">
        <f>HYPERLINK("https://www.boe.es/gazeta/dias/1818/02/10/pdfs/GMD-1818-18.pdf#page=8","Abrir facsímil")</f>
        <v>Abrir facsímil</v>
      </c>
      <c r="K4410" s="3" t="s">
        <v>38</v>
      </c>
    </row>
    <row r="4411" spans="1:11" ht="42" customHeight="1">
      <c r="A4411" s="2" t="s">
        <v>10523</v>
      </c>
      <c r="B4411" s="2" t="s">
        <v>10524</v>
      </c>
      <c r="C4411" s="2" t="s">
        <v>26</v>
      </c>
      <c r="D4411" s="2" t="s">
        <v>27</v>
      </c>
      <c r="E4411" s="5">
        <v>-29899</v>
      </c>
      <c r="F4411" s="3" t="s">
        <v>232</v>
      </c>
      <c r="G4411" s="3" t="s">
        <v>20</v>
      </c>
      <c r="H4411" s="2" t="s">
        <v>36</v>
      </c>
      <c r="I4411" s="2" t="s">
        <v>10525</v>
      </c>
      <c r="J4411" s="3" t="str">
        <f>HYPERLINK("https://www.boe.es/gazeta/dias/1818/02/19/pdfs/GMD-1818-22.pdf#page=7","Abrir facsímil")</f>
        <v>Abrir facsímil</v>
      </c>
      <c r="K4411" s="3" t="s">
        <v>38</v>
      </c>
    </row>
    <row r="4412" spans="1:11" ht="42" customHeight="1">
      <c r="A4412" s="2" t="s">
        <v>10523</v>
      </c>
      <c r="B4412" s="2" t="s">
        <v>10524</v>
      </c>
      <c r="C4412" s="2" t="s">
        <v>26</v>
      </c>
      <c r="D4412" s="2" t="s">
        <v>27</v>
      </c>
      <c r="E4412" s="5">
        <v>-29764</v>
      </c>
      <c r="F4412" s="3" t="s">
        <v>464</v>
      </c>
      <c r="G4412" s="3" t="s">
        <v>45</v>
      </c>
      <c r="H4412" s="2" t="s">
        <v>36</v>
      </c>
      <c r="I4412" s="2" t="s">
        <v>10526</v>
      </c>
      <c r="J4412" s="3" t="str">
        <f>HYPERLINK("https://www.boe.es/gazeta/dias/1818/07/04/pdfs/GMD-1818-80.pdf#page=8","Abrir facsímil")</f>
        <v>Abrir facsímil</v>
      </c>
      <c r="K4412" s="3" t="s">
        <v>38</v>
      </c>
    </row>
    <row r="4413" spans="1:11" ht="42" customHeight="1">
      <c r="A4413" s="2" t="s">
        <v>10527</v>
      </c>
      <c r="B4413" s="2" t="s">
        <v>10528</v>
      </c>
      <c r="C4413" s="2" t="s">
        <v>68</v>
      </c>
      <c r="D4413" s="2" t="s">
        <v>69</v>
      </c>
      <c r="E4413" s="5">
        <v>-29677</v>
      </c>
      <c r="F4413" s="3" t="s">
        <v>157</v>
      </c>
      <c r="G4413" s="3" t="s">
        <v>158</v>
      </c>
      <c r="H4413" s="2" t="s">
        <v>36</v>
      </c>
      <c r="I4413" s="2" t="s">
        <v>10529</v>
      </c>
      <c r="J4413" s="3" t="str">
        <f>HYPERLINK("https://www.boe.es/gazeta/dias/1818/09/29/pdfs/GMD-1818-117.pdf#page=8","Abrir facsímil")</f>
        <v>Abrir facsímil</v>
      </c>
      <c r="K4413" s="3" t="s">
        <v>38</v>
      </c>
    </row>
    <row r="4414" spans="1:11" ht="42" customHeight="1">
      <c r="A4414" s="2" t="s">
        <v>10530</v>
      </c>
      <c r="B4414" s="2" t="s">
        <v>10531</v>
      </c>
      <c r="C4414" s="2" t="s">
        <v>17</v>
      </c>
      <c r="D4414" s="2" t="s">
        <v>18</v>
      </c>
      <c r="E4414" s="5">
        <v>-29584</v>
      </c>
      <c r="F4414" s="3" t="s">
        <v>1002</v>
      </c>
      <c r="G4414" s="3" t="s">
        <v>59</v>
      </c>
      <c r="H4414" s="2" t="s">
        <v>36</v>
      </c>
      <c r="I4414" s="2" t="s">
        <v>10532</v>
      </c>
      <c r="J4414" s="3" t="str">
        <f>HYPERLINK("https://www.boe.es/gazeta/dias/1818/12/31/pdfs/GMD-1818-159.pdf#page=6","Abrir facsímil")</f>
        <v>Abrir facsímil</v>
      </c>
      <c r="K4414" s="3" t="s">
        <v>38</v>
      </c>
    </row>
    <row r="4415" spans="1:11" ht="42" customHeight="1">
      <c r="A4415" s="2" t="s">
        <v>10533</v>
      </c>
      <c r="B4415" s="2" t="s">
        <v>10534</v>
      </c>
      <c r="C4415" s="2" t="s">
        <v>68</v>
      </c>
      <c r="D4415" s="2" t="s">
        <v>69</v>
      </c>
      <c r="E4415" s="5">
        <v>-29880</v>
      </c>
      <c r="F4415" s="3" t="s">
        <v>359</v>
      </c>
      <c r="G4415" s="3" t="s">
        <v>1221</v>
      </c>
      <c r="H4415" s="2" t="s">
        <v>21</v>
      </c>
      <c r="I4415" s="2" t="s">
        <v>10535</v>
      </c>
      <c r="J4415" s="3" t="str">
        <f>HYPERLINK("https://www.boe.es/gazeta/dias/1818/03/10/pdfs/GMD-1818-30.pdf#page=8","Abrir facsímil")</f>
        <v>Abrir facsímil</v>
      </c>
      <c r="K4415" s="3" t="s">
        <v>23</v>
      </c>
    </row>
    <row r="4416" spans="1:11" ht="42" customHeight="1">
      <c r="A4416" s="2" t="s">
        <v>10536</v>
      </c>
      <c r="B4416" s="2" t="s">
        <v>10537</v>
      </c>
      <c r="C4416" s="2" t="s">
        <v>68</v>
      </c>
      <c r="D4416" s="2" t="s">
        <v>69</v>
      </c>
      <c r="E4416" s="5">
        <v>-29866</v>
      </c>
      <c r="F4416" s="3" t="s">
        <v>828</v>
      </c>
      <c r="G4416" s="3" t="s">
        <v>45</v>
      </c>
      <c r="H4416" s="2" t="s">
        <v>21</v>
      </c>
      <c r="I4416" s="2" t="s">
        <v>10538</v>
      </c>
      <c r="J4416" s="3" t="str">
        <f>HYPERLINK("https://www.boe.es/gazeta/dias/1818/03/24/pdfs/GMD-1818-36.pdf#page=8","Abrir facsímil")</f>
        <v>Abrir facsímil</v>
      </c>
      <c r="K4416" s="3" t="s">
        <v>23</v>
      </c>
    </row>
    <row r="4417" spans="1:11" ht="42" customHeight="1">
      <c r="A4417" s="2" t="s">
        <v>10539</v>
      </c>
      <c r="B4417" s="2" t="s">
        <v>10540</v>
      </c>
      <c r="C4417" s="2" t="s">
        <v>68</v>
      </c>
      <c r="D4417" s="2" t="s">
        <v>69</v>
      </c>
      <c r="E4417" s="5">
        <v>-29822</v>
      </c>
      <c r="F4417" s="3" t="s">
        <v>373</v>
      </c>
      <c r="G4417" s="3" t="s">
        <v>45</v>
      </c>
      <c r="H4417" s="2" t="s">
        <v>21</v>
      </c>
      <c r="I4417" s="2" t="s">
        <v>10541</v>
      </c>
      <c r="J4417" s="3" t="str">
        <f>HYPERLINK("https://www.boe.es/gazeta/dias/1818/05/07/pdfs/GMD-1818-55.pdf#page=8","Abrir facsímil")</f>
        <v>Abrir facsímil</v>
      </c>
      <c r="K4417" s="3" t="s">
        <v>23</v>
      </c>
    </row>
    <row r="4418" spans="1:11" ht="42" customHeight="1">
      <c r="A4418" s="2" t="s">
        <v>10542</v>
      </c>
      <c r="B4418" s="2" t="s">
        <v>10543</v>
      </c>
      <c r="C4418" s="2" t="s">
        <v>68</v>
      </c>
      <c r="D4418" s="2" t="s">
        <v>69</v>
      </c>
      <c r="E4418" s="5">
        <v>-29908</v>
      </c>
      <c r="F4418" s="3" t="s">
        <v>695</v>
      </c>
      <c r="G4418" s="3" t="s">
        <v>45</v>
      </c>
      <c r="H4418" s="2" t="s">
        <v>21</v>
      </c>
      <c r="I4418" s="2" t="s">
        <v>10544</v>
      </c>
      <c r="J4418" s="3" t="str">
        <f>HYPERLINK("https://www.boe.es/gazeta/dias/1818/02/10/pdfs/GMD-1818-18.pdf#page=8","Abrir facsímil")</f>
        <v>Abrir facsímil</v>
      </c>
      <c r="K4418" s="3" t="s">
        <v>23</v>
      </c>
    </row>
    <row r="4419" spans="1:11" ht="42" customHeight="1">
      <c r="A4419" s="2" t="s">
        <v>10542</v>
      </c>
      <c r="B4419" s="2" t="s">
        <v>10543</v>
      </c>
      <c r="C4419" s="2" t="s">
        <v>26</v>
      </c>
      <c r="D4419" s="2" t="s">
        <v>27</v>
      </c>
      <c r="E4419" s="5">
        <v>-29899</v>
      </c>
      <c r="F4419" s="3" t="s">
        <v>232</v>
      </c>
      <c r="G4419" s="3" t="s">
        <v>20</v>
      </c>
      <c r="H4419" s="2" t="s">
        <v>21</v>
      </c>
      <c r="I4419" s="2" t="s">
        <v>10545</v>
      </c>
      <c r="J4419" s="3" t="str">
        <f>HYPERLINK("https://www.boe.es/gazeta/dias/1818/02/19/pdfs/GMD-1818-22.pdf#page=7","Abrir facsímil")</f>
        <v>Abrir facsímil</v>
      </c>
      <c r="K4419" s="3" t="s">
        <v>23</v>
      </c>
    </row>
    <row r="4420" spans="1:11" ht="42" customHeight="1">
      <c r="A4420" s="2" t="s">
        <v>10542</v>
      </c>
      <c r="B4420" s="2" t="s">
        <v>10543</v>
      </c>
      <c r="C4420" s="2" t="s">
        <v>26</v>
      </c>
      <c r="D4420" s="2" t="s">
        <v>27</v>
      </c>
      <c r="E4420" s="5">
        <v>-29829</v>
      </c>
      <c r="F4420" s="3" t="s">
        <v>44</v>
      </c>
      <c r="G4420" s="3" t="s">
        <v>20</v>
      </c>
      <c r="H4420" s="2" t="s">
        <v>21</v>
      </c>
      <c r="I4420" s="2" t="s">
        <v>10546</v>
      </c>
      <c r="J4420" s="3" t="str">
        <f>HYPERLINK("https://www.boe.es/gazeta/dias/1818/04/30/pdfs/GMD-1818-52.pdf#page=7","Abrir facsímil")</f>
        <v>Abrir facsímil</v>
      </c>
      <c r="K4420" s="3" t="s">
        <v>23</v>
      </c>
    </row>
    <row r="4421" spans="1:11" ht="42" customHeight="1">
      <c r="A4421" s="2" t="s">
        <v>10547</v>
      </c>
      <c r="B4421" s="2" t="s">
        <v>10548</v>
      </c>
      <c r="C4421" s="2" t="s">
        <v>26</v>
      </c>
      <c r="D4421" s="2" t="s">
        <v>27</v>
      </c>
      <c r="E4421" s="5">
        <v>-29659</v>
      </c>
      <c r="F4421" s="3" t="s">
        <v>1690</v>
      </c>
      <c r="G4421" s="3" t="s">
        <v>1691</v>
      </c>
      <c r="H4421" s="2" t="s">
        <v>21</v>
      </c>
      <c r="I4421" s="2" t="s">
        <v>10549</v>
      </c>
      <c r="J4421" s="3" t="str">
        <f>HYPERLINK("https://www.boe.es/gazeta/dias/1818/10/17/pdfs/GMD-1818-126.pdf#page=8","Abrir facsímil")</f>
        <v>Abrir facsímil</v>
      </c>
      <c r="K4421" s="3" t="s">
        <v>23</v>
      </c>
    </row>
    <row r="4422" spans="1:11" ht="42" customHeight="1">
      <c r="A4422" s="2" t="s">
        <v>10550</v>
      </c>
      <c r="B4422" s="2" t="s">
        <v>10551</v>
      </c>
      <c r="C4422" s="2" t="s">
        <v>68</v>
      </c>
      <c r="D4422" s="2" t="s">
        <v>69</v>
      </c>
      <c r="E4422" s="5">
        <v>-29848</v>
      </c>
      <c r="F4422" s="3" t="s">
        <v>571</v>
      </c>
      <c r="G4422" s="3" t="s">
        <v>45</v>
      </c>
      <c r="H4422" s="2" t="s">
        <v>21</v>
      </c>
      <c r="I4422" s="2" t="s">
        <v>10552</v>
      </c>
      <c r="J4422" s="3" t="str">
        <f>HYPERLINK("https://www.boe.es/gazeta/dias/1818/04/11/pdfs/GMD-1818-44.pdf#page=8","Abrir facsímil")</f>
        <v>Abrir facsímil</v>
      </c>
      <c r="K4422" s="3" t="s">
        <v>23</v>
      </c>
    </row>
    <row r="4423" spans="1:11" ht="42" customHeight="1">
      <c r="A4423" s="2" t="s">
        <v>10553</v>
      </c>
      <c r="B4423" s="2" t="s">
        <v>10554</v>
      </c>
      <c r="C4423" s="2" t="s">
        <v>26</v>
      </c>
      <c r="D4423" s="2" t="s">
        <v>27</v>
      </c>
      <c r="E4423" s="5">
        <v>-29934</v>
      </c>
      <c r="F4423" s="3" t="s">
        <v>53</v>
      </c>
      <c r="G4423" s="3" t="s">
        <v>106</v>
      </c>
      <c r="H4423" s="2" t="s">
        <v>36</v>
      </c>
      <c r="I4423" s="2" t="s">
        <v>10555</v>
      </c>
      <c r="J4423" s="3" t="str">
        <f>HYPERLINK("https://www.boe.es/gazeta/dias/1818/01/15/pdfs/GMD-1818-7.pdf#page=5","Abrir facsímil")</f>
        <v>Abrir facsímil</v>
      </c>
      <c r="K4423" s="3" t="s">
        <v>38</v>
      </c>
    </row>
    <row r="4424" spans="1:11" ht="42" customHeight="1">
      <c r="A4424" s="2" t="s">
        <v>10556</v>
      </c>
      <c r="B4424" s="2" t="s">
        <v>10557</v>
      </c>
      <c r="C4424" s="2" t="s">
        <v>26</v>
      </c>
      <c r="D4424" s="2" t="s">
        <v>27</v>
      </c>
      <c r="E4424" s="5">
        <v>-29736</v>
      </c>
      <c r="F4424" s="3" t="s">
        <v>581</v>
      </c>
      <c r="G4424" s="3" t="s">
        <v>45</v>
      </c>
      <c r="H4424" s="2" t="s">
        <v>21</v>
      </c>
      <c r="I4424" s="2" t="s">
        <v>10558</v>
      </c>
      <c r="J4424" s="3" t="str">
        <f>HYPERLINK("https://www.boe.es/gazeta/dias/1818/08/01/pdfs/GMD-1818-92.pdf#page=8","Abrir facsímil")</f>
        <v>Abrir facsímil</v>
      </c>
      <c r="K4424" s="3" t="s">
        <v>23</v>
      </c>
    </row>
    <row r="4425" spans="1:11" ht="42" customHeight="1">
      <c r="A4425" s="2" t="s">
        <v>10559</v>
      </c>
      <c r="B4425" s="2" t="s">
        <v>10560</v>
      </c>
      <c r="C4425" s="2" t="s">
        <v>26</v>
      </c>
      <c r="D4425" s="2" t="s">
        <v>27</v>
      </c>
      <c r="E4425" s="5">
        <v>-29890</v>
      </c>
      <c r="F4425" s="3" t="s">
        <v>393</v>
      </c>
      <c r="G4425" s="3" t="s">
        <v>106</v>
      </c>
      <c r="H4425" s="2" t="s">
        <v>36</v>
      </c>
      <c r="I4425" s="2" t="s">
        <v>10561</v>
      </c>
      <c r="J4425" s="3" t="str">
        <f>HYPERLINK("https://www.boe.es/gazeta/dias/1818/02/28/pdfs/GMD-1818-26.pdf#page=5","Abrir facsímil")</f>
        <v>Abrir facsímil</v>
      </c>
      <c r="K4425" s="3" t="s">
        <v>38</v>
      </c>
    </row>
    <row r="4426" spans="1:11" ht="42" customHeight="1">
      <c r="A4426" s="2" t="s">
        <v>10562</v>
      </c>
      <c r="B4426" s="2" t="s">
        <v>10562</v>
      </c>
      <c r="C4426" s="2" t="s">
        <v>26</v>
      </c>
      <c r="D4426" s="2" t="s">
        <v>27</v>
      </c>
      <c r="E4426" s="5">
        <v>-29890</v>
      </c>
      <c r="F4426" s="3" t="s">
        <v>393</v>
      </c>
      <c r="G4426" s="3" t="s">
        <v>1096</v>
      </c>
      <c r="H4426" s="2" t="s">
        <v>36</v>
      </c>
      <c r="I4426" s="2" t="s">
        <v>10563</v>
      </c>
      <c r="J4426" s="3" t="str">
        <f>HYPERLINK("https://www.boe.es/gazeta/dias/1818/02/28/pdfs/GMD-1818-26.pdf#page=6","Abrir facsímil")</f>
        <v>Abrir facsímil</v>
      </c>
      <c r="K4426" s="3" t="s">
        <v>38</v>
      </c>
    </row>
    <row r="4427" spans="1:11" ht="42" customHeight="1">
      <c r="A4427" s="2" t="s">
        <v>10564</v>
      </c>
      <c r="B4427" s="2" t="s">
        <v>10564</v>
      </c>
      <c r="C4427" s="2" t="s">
        <v>26</v>
      </c>
      <c r="D4427" s="2" t="s">
        <v>27</v>
      </c>
      <c r="E4427" s="5">
        <v>-29855</v>
      </c>
      <c r="F4427" s="3" t="s">
        <v>676</v>
      </c>
      <c r="G4427" s="3" t="s">
        <v>106</v>
      </c>
      <c r="H4427" s="2" t="s">
        <v>36</v>
      </c>
      <c r="I4427" s="2" t="s">
        <v>10565</v>
      </c>
      <c r="J4427" s="3" t="str">
        <f>HYPERLINK("https://www.boe.es/gazeta/dias/1818/04/04/pdfs/GMD-1818-41.pdf#page=5","Abrir facsímil")</f>
        <v>Abrir facsímil</v>
      </c>
      <c r="K4427" s="3" t="s">
        <v>38</v>
      </c>
    </row>
    <row r="4428" spans="1:11" ht="42" customHeight="1">
      <c r="A4428" s="2" t="s">
        <v>10566</v>
      </c>
      <c r="B4428" s="2" t="s">
        <v>10567</v>
      </c>
      <c r="C4428" s="2" t="s">
        <v>17</v>
      </c>
      <c r="D4428" s="2" t="s">
        <v>18</v>
      </c>
      <c r="E4428" s="5">
        <v>-29890</v>
      </c>
      <c r="F4428" s="3" t="s">
        <v>393</v>
      </c>
      <c r="G4428" s="3" t="s">
        <v>106</v>
      </c>
      <c r="H4428" s="2" t="s">
        <v>36</v>
      </c>
      <c r="I4428" s="2" t="s">
        <v>10568</v>
      </c>
      <c r="J4428" s="3" t="str">
        <f>HYPERLINK("https://www.boe.es/gazeta/dias/1818/02/28/pdfs/GMD-1818-26.pdf#page=5","Abrir facsímil")</f>
        <v>Abrir facsímil</v>
      </c>
      <c r="K4428" s="3" t="s">
        <v>38</v>
      </c>
    </row>
    <row r="4429" spans="1:11" ht="42" customHeight="1">
      <c r="A4429" s="2" t="s">
        <v>10569</v>
      </c>
      <c r="B4429" s="2" t="s">
        <v>10570</v>
      </c>
      <c r="C4429" s="2" t="s">
        <v>26</v>
      </c>
      <c r="D4429" s="2" t="s">
        <v>27</v>
      </c>
      <c r="E4429" s="5">
        <v>-29771</v>
      </c>
      <c r="F4429" s="3" t="s">
        <v>1260</v>
      </c>
      <c r="G4429" s="3" t="s">
        <v>4136</v>
      </c>
      <c r="H4429" s="2" t="s">
        <v>36</v>
      </c>
      <c r="I4429" s="2" t="s">
        <v>10571</v>
      </c>
      <c r="J4429" s="3" t="str">
        <f>HYPERLINK("https://www.boe.es/gazeta/dias/1818/06/27/pdfs/GMD-1818-77.pdf#page=4","Abrir facsímil")</f>
        <v>Abrir facsímil</v>
      </c>
      <c r="K4429" s="3" t="s">
        <v>38</v>
      </c>
    </row>
    <row r="4430" spans="1:11" ht="42" customHeight="1">
      <c r="A4430" s="2" t="s">
        <v>10569</v>
      </c>
      <c r="B4430" s="2" t="s">
        <v>10570</v>
      </c>
      <c r="C4430" s="2" t="s">
        <v>57</v>
      </c>
      <c r="D4430" s="2" t="s">
        <v>18</v>
      </c>
      <c r="E4430" s="5">
        <v>-29771</v>
      </c>
      <c r="F4430" s="3" t="s">
        <v>1260</v>
      </c>
      <c r="G4430" s="3" t="s">
        <v>106</v>
      </c>
      <c r="H4430" s="2" t="s">
        <v>36</v>
      </c>
      <c r="I4430" s="2" t="s">
        <v>10572</v>
      </c>
      <c r="J4430" s="3" t="str">
        <f>HYPERLINK("https://www.boe.es/gazeta/dias/1818/06/27/pdfs/GMD-1818-77.pdf#page=5","Abrir facsímil")</f>
        <v>Abrir facsímil</v>
      </c>
      <c r="K4430" s="3" t="s">
        <v>38</v>
      </c>
    </row>
    <row r="4431" spans="1:11" ht="42" customHeight="1">
      <c r="A4431" s="2" t="s">
        <v>10573</v>
      </c>
      <c r="B4431" s="2" t="s">
        <v>10573</v>
      </c>
      <c r="C4431" s="2" t="s">
        <v>26</v>
      </c>
      <c r="D4431" s="2" t="s">
        <v>27</v>
      </c>
      <c r="E4431" s="5">
        <v>-29939</v>
      </c>
      <c r="F4431" s="3" t="s">
        <v>110</v>
      </c>
      <c r="G4431" s="3" t="s">
        <v>49</v>
      </c>
      <c r="H4431" s="2" t="s">
        <v>36</v>
      </c>
      <c r="I4431" s="2" t="s">
        <v>10574</v>
      </c>
      <c r="J4431" s="3" t="str">
        <f>HYPERLINK("https://www.boe.es/gazeta/dias/1818/01/10/pdfs/GMD-1818-5.pdf#page=1","Abrir facsímil")</f>
        <v>Abrir facsímil</v>
      </c>
      <c r="K4431" s="3" t="s">
        <v>38</v>
      </c>
    </row>
    <row r="4432" spans="1:11" ht="42" customHeight="1">
      <c r="A4432" s="2" t="s">
        <v>10575</v>
      </c>
      <c r="B4432" s="2" t="s">
        <v>10576</v>
      </c>
      <c r="C4432" s="2" t="s">
        <v>17</v>
      </c>
      <c r="D4432" s="2" t="s">
        <v>18</v>
      </c>
      <c r="E4432" s="5">
        <v>-29668</v>
      </c>
      <c r="F4432" s="3" t="s">
        <v>2219</v>
      </c>
      <c r="G4432" s="3" t="s">
        <v>20</v>
      </c>
      <c r="H4432" s="2" t="s">
        <v>36</v>
      </c>
      <c r="I4432" s="2" t="s">
        <v>10577</v>
      </c>
      <c r="J4432" s="3" t="str">
        <f>HYPERLINK("https://www.boe.es/gazeta/dias/1818/10/08/pdfs/GMD-1818-121.pdf#page=7","Abrir facsímil")</f>
        <v>Abrir facsímil</v>
      </c>
      <c r="K4432" s="3" t="s">
        <v>38</v>
      </c>
    </row>
    <row r="4433" spans="1:11" ht="42" customHeight="1">
      <c r="A4433" s="2" t="s">
        <v>10578</v>
      </c>
      <c r="B4433" s="2" t="s">
        <v>10578</v>
      </c>
      <c r="C4433" s="2" t="s">
        <v>63</v>
      </c>
      <c r="D4433" s="2" t="s">
        <v>18</v>
      </c>
      <c r="E4433" s="5">
        <v>-29815</v>
      </c>
      <c r="F4433" s="3" t="s">
        <v>2169</v>
      </c>
      <c r="G4433" s="3" t="s">
        <v>120</v>
      </c>
      <c r="H4433" s="2" t="s">
        <v>36</v>
      </c>
      <c r="I4433" s="2" t="s">
        <v>10579</v>
      </c>
      <c r="J4433" s="3" t="str">
        <f>HYPERLINK("https://www.boe.es/gazeta/dias/1818/05/14/pdfs/GMD-1818-58.pdf#page=2","Abrir facsímil")</f>
        <v>Abrir facsímil</v>
      </c>
      <c r="K4433" s="3" t="s">
        <v>38</v>
      </c>
    </row>
    <row r="4434" spans="1:11" ht="42" customHeight="1">
      <c r="A4434" s="2" t="s">
        <v>10580</v>
      </c>
      <c r="B4434" s="2" t="s">
        <v>10580</v>
      </c>
      <c r="C4434" s="2" t="s">
        <v>26</v>
      </c>
      <c r="D4434" s="2" t="s">
        <v>27</v>
      </c>
      <c r="E4434" s="5">
        <v>-29761</v>
      </c>
      <c r="F4434" s="3" t="s">
        <v>168</v>
      </c>
      <c r="G4434" s="3" t="s">
        <v>49</v>
      </c>
      <c r="H4434" s="2" t="s">
        <v>36</v>
      </c>
      <c r="I4434" s="2" t="s">
        <v>10581</v>
      </c>
      <c r="J4434" s="3" t="str">
        <f>HYPERLINK("https://www.boe.es/gazeta/dias/1818/07/07/pdfs/GMD-1818-81.pdf#page=1","Abrir facsímil")</f>
        <v>Abrir facsímil</v>
      </c>
      <c r="K4434" s="3" t="s">
        <v>38</v>
      </c>
    </row>
    <row r="4435" spans="1:11" ht="42" customHeight="1">
      <c r="A4435" s="2" t="s">
        <v>10582</v>
      </c>
      <c r="B4435" s="2" t="s">
        <v>10583</v>
      </c>
      <c r="C4435" s="2" t="s">
        <v>17</v>
      </c>
      <c r="D4435" s="2" t="s">
        <v>18</v>
      </c>
      <c r="E4435" s="5">
        <v>-29605</v>
      </c>
      <c r="F4435" s="3" t="s">
        <v>888</v>
      </c>
      <c r="G4435" s="3" t="s">
        <v>120</v>
      </c>
      <c r="H4435" s="2" t="s">
        <v>36</v>
      </c>
      <c r="I4435" s="2" t="s">
        <v>10584</v>
      </c>
      <c r="J4435" s="3" t="str">
        <f>HYPERLINK("https://www.boe.es/gazeta/dias/1818/12/10/pdfs/GMD-1818-149.pdf#page=2","Abrir facsímil")</f>
        <v>Abrir facsímil</v>
      </c>
      <c r="K4435" s="3" t="s">
        <v>38</v>
      </c>
    </row>
    <row r="4436" spans="1:11" ht="42" customHeight="1">
      <c r="A4436" s="2" t="s">
        <v>10585</v>
      </c>
      <c r="B4436" s="2" t="s">
        <v>10586</v>
      </c>
      <c r="C4436" s="2" t="s">
        <v>68</v>
      </c>
      <c r="D4436" s="2" t="s">
        <v>69</v>
      </c>
      <c r="E4436" s="5">
        <v>-29584</v>
      </c>
      <c r="F4436" s="3" t="s">
        <v>1002</v>
      </c>
      <c r="G4436" s="3" t="s">
        <v>59</v>
      </c>
      <c r="H4436" s="2" t="s">
        <v>36</v>
      </c>
      <c r="I4436" s="2" t="s">
        <v>10587</v>
      </c>
      <c r="J4436" s="3" t="str">
        <f>HYPERLINK("https://www.boe.es/gazeta/dias/1818/12/31/pdfs/GMD-1818-159.pdf#page=6","Abrir facsímil")</f>
        <v>Abrir facsímil</v>
      </c>
      <c r="K4436" s="3" t="s">
        <v>38</v>
      </c>
    </row>
    <row r="4437" spans="1:11" ht="42" customHeight="1">
      <c r="A4437" s="2" t="s">
        <v>10588</v>
      </c>
      <c r="B4437" s="2" t="s">
        <v>10589</v>
      </c>
      <c r="C4437" s="2" t="s">
        <v>17</v>
      </c>
      <c r="D4437" s="2" t="s">
        <v>18</v>
      </c>
      <c r="E4437" s="5">
        <v>-29925</v>
      </c>
      <c r="F4437" s="3" t="s">
        <v>447</v>
      </c>
      <c r="G4437" s="3" t="s">
        <v>45</v>
      </c>
      <c r="H4437" s="2" t="s">
        <v>36</v>
      </c>
      <c r="I4437" s="2" t="s">
        <v>10590</v>
      </c>
      <c r="J4437" s="3" t="str">
        <f>HYPERLINK("https://www.boe.es/gazeta/dias/1818/01/24/pdfs/GMD-1818-11.pdf#page=8","Abrir facsímil")</f>
        <v>Abrir facsímil</v>
      </c>
      <c r="K4437" s="3" t="s">
        <v>38</v>
      </c>
    </row>
    <row r="4438" spans="1:11" ht="42" customHeight="1">
      <c r="A4438" s="2" t="s">
        <v>10588</v>
      </c>
      <c r="B4438" s="2" t="s">
        <v>10589</v>
      </c>
      <c r="C4438" s="2" t="s">
        <v>57</v>
      </c>
      <c r="D4438" s="2" t="s">
        <v>18</v>
      </c>
      <c r="E4438" s="5">
        <v>-29673</v>
      </c>
      <c r="F4438" s="3" t="s">
        <v>1099</v>
      </c>
      <c r="G4438" s="3" t="s">
        <v>59</v>
      </c>
      <c r="H4438" s="2" t="s">
        <v>36</v>
      </c>
      <c r="I4438" s="2" t="s">
        <v>10591</v>
      </c>
      <c r="J4438" s="3" t="str">
        <f>HYPERLINK("https://www.boe.es/gazeta/dias/1818/10/03/pdfs/GMD-1818-119.pdf#page=6","Abrir facsímil")</f>
        <v>Abrir facsímil</v>
      </c>
      <c r="K4438" s="3" t="s">
        <v>38</v>
      </c>
    </row>
    <row r="4439" spans="1:11" ht="42" customHeight="1">
      <c r="A4439" s="2" t="s">
        <v>10592</v>
      </c>
      <c r="B4439" s="2" t="s">
        <v>10593</v>
      </c>
      <c r="C4439" s="2" t="s">
        <v>17</v>
      </c>
      <c r="D4439" s="2" t="s">
        <v>18</v>
      </c>
      <c r="E4439" s="5">
        <v>-29698</v>
      </c>
      <c r="F4439" s="3" t="s">
        <v>148</v>
      </c>
      <c r="G4439" s="3" t="s">
        <v>29</v>
      </c>
      <c r="H4439" s="2" t="s">
        <v>36</v>
      </c>
      <c r="I4439" s="2" t="s">
        <v>10594</v>
      </c>
      <c r="J4439" s="3" t="str">
        <f>HYPERLINK("https://www.boe.es/gazeta/dias/1818/09/08/pdfs/GMD-1818-108.pdf#page=4","Abrir facsímil")</f>
        <v>Abrir facsímil</v>
      </c>
      <c r="K4439" s="3" t="s">
        <v>38</v>
      </c>
    </row>
    <row r="4440" spans="1:11" ht="42" customHeight="1">
      <c r="A4440" s="2" t="s">
        <v>10595</v>
      </c>
      <c r="B4440" s="2" t="s">
        <v>10596</v>
      </c>
      <c r="C4440" s="2" t="s">
        <v>26</v>
      </c>
      <c r="D4440" s="2" t="s">
        <v>27</v>
      </c>
      <c r="E4440" s="5">
        <v>-29939</v>
      </c>
      <c r="F4440" s="3" t="s">
        <v>110</v>
      </c>
      <c r="G4440" s="3" t="s">
        <v>20</v>
      </c>
      <c r="H4440" s="2" t="s">
        <v>36</v>
      </c>
      <c r="I4440" s="2" t="s">
        <v>10597</v>
      </c>
      <c r="J4440" s="3" t="str">
        <f>HYPERLINK("https://www.boe.es/gazeta/dias/1818/01/10/pdfs/GMD-1818-5.pdf#page=7","Abrir facsímil")</f>
        <v>Abrir facsímil</v>
      </c>
      <c r="K4440" s="3" t="s">
        <v>38</v>
      </c>
    </row>
    <row r="4441" spans="1:11" ht="42" customHeight="1">
      <c r="A4441" s="2" t="s">
        <v>10598</v>
      </c>
      <c r="B4441" s="2" t="s">
        <v>10599</v>
      </c>
      <c r="C4441" s="2" t="s">
        <v>26</v>
      </c>
      <c r="D4441" s="2" t="s">
        <v>27</v>
      </c>
      <c r="E4441" s="5">
        <v>-29897</v>
      </c>
      <c r="F4441" s="3" t="s">
        <v>318</v>
      </c>
      <c r="G4441" s="3" t="s">
        <v>29</v>
      </c>
      <c r="H4441" s="2" t="s">
        <v>36</v>
      </c>
      <c r="I4441" s="2" t="s">
        <v>10600</v>
      </c>
      <c r="J4441" s="3" t="str">
        <f>HYPERLINK("https://www.boe.es/gazeta/dias/1818/02/21/pdfs/GMD-1818-23.pdf#page=4","Abrir facsímil")</f>
        <v>Abrir facsímil</v>
      </c>
      <c r="K4441" s="3" t="s">
        <v>38</v>
      </c>
    </row>
    <row r="4442" spans="1:11" ht="42" customHeight="1">
      <c r="A4442" s="2" t="s">
        <v>10601</v>
      </c>
      <c r="B4442" s="2" t="s">
        <v>10602</v>
      </c>
      <c r="C4442" s="2" t="s">
        <v>68</v>
      </c>
      <c r="D4442" s="2" t="s">
        <v>69</v>
      </c>
      <c r="E4442" s="5">
        <v>-29635</v>
      </c>
      <c r="F4442" s="3" t="s">
        <v>560</v>
      </c>
      <c r="G4442" s="3" t="s">
        <v>45</v>
      </c>
      <c r="H4442" s="2" t="s">
        <v>36</v>
      </c>
      <c r="I4442" s="2" t="s">
        <v>10603</v>
      </c>
      <c r="J4442" s="3" t="str">
        <f>HYPERLINK("https://www.boe.es/gazeta/dias/1818/11/10/pdfs/GMD-1818-136.pdf#page=8","Abrir facsímil")</f>
        <v>Abrir facsímil</v>
      </c>
      <c r="K4442" s="3" t="s">
        <v>38</v>
      </c>
    </row>
    <row r="4443" spans="1:11" ht="42" customHeight="1">
      <c r="A4443" s="2" t="s">
        <v>10604</v>
      </c>
      <c r="B4443" s="2" t="s">
        <v>10605</v>
      </c>
      <c r="C4443" s="2" t="s">
        <v>68</v>
      </c>
      <c r="D4443" s="2" t="s">
        <v>69</v>
      </c>
      <c r="E4443" s="5">
        <v>-29824</v>
      </c>
      <c r="F4443" s="3" t="s">
        <v>101</v>
      </c>
      <c r="G4443" s="3" t="s">
        <v>45</v>
      </c>
      <c r="H4443" s="2" t="s">
        <v>36</v>
      </c>
      <c r="I4443" s="2" t="s">
        <v>10606</v>
      </c>
      <c r="J4443" s="3" t="str">
        <f>HYPERLINK("https://www.boe.es/gazeta/dias/1818/05/05/pdfs/GMD-1818-54.pdf#page=8","Abrir facsímil")</f>
        <v>Abrir facsímil</v>
      </c>
      <c r="K4443" s="3" t="s">
        <v>38</v>
      </c>
    </row>
    <row r="4444" spans="1:11" ht="42" customHeight="1">
      <c r="A4444" s="2" t="s">
        <v>10607</v>
      </c>
      <c r="B4444" s="2" t="s">
        <v>10608</v>
      </c>
      <c r="C4444" s="2" t="s">
        <v>26</v>
      </c>
      <c r="D4444" s="2" t="s">
        <v>27</v>
      </c>
      <c r="E4444" s="5">
        <v>-29897</v>
      </c>
      <c r="F4444" s="3" t="s">
        <v>318</v>
      </c>
      <c r="G4444" s="3" t="s">
        <v>29</v>
      </c>
      <c r="H4444" s="2" t="s">
        <v>36</v>
      </c>
      <c r="I4444" s="2" t="s">
        <v>10609</v>
      </c>
      <c r="J4444" s="3" t="str">
        <f>HYPERLINK("https://www.boe.es/gazeta/dias/1818/02/21/pdfs/GMD-1818-23.pdf#page=4","Abrir facsímil")</f>
        <v>Abrir facsímil</v>
      </c>
      <c r="K4444" s="3" t="s">
        <v>38</v>
      </c>
    </row>
    <row r="4445" spans="1:11" ht="42" customHeight="1">
      <c r="A4445" s="2" t="s">
        <v>10607</v>
      </c>
      <c r="B4445" s="2" t="s">
        <v>10608</v>
      </c>
      <c r="C4445" s="2" t="s">
        <v>26</v>
      </c>
      <c r="D4445" s="2" t="s">
        <v>27</v>
      </c>
      <c r="E4445" s="5">
        <v>-29596</v>
      </c>
      <c r="F4445" s="3" t="s">
        <v>555</v>
      </c>
      <c r="G4445" s="3" t="s">
        <v>556</v>
      </c>
      <c r="H4445" s="2" t="s">
        <v>36</v>
      </c>
      <c r="I4445" s="2" t="s">
        <v>10610</v>
      </c>
      <c r="J4445" s="3" t="str">
        <f>HYPERLINK("https://www.boe.es/gazeta/dias/1818/12/19/pdfs/GMD-1818-153.pdf#page=4","Abrir facsímil")</f>
        <v>Abrir facsímil</v>
      </c>
      <c r="K4445" s="3" t="s">
        <v>38</v>
      </c>
    </row>
    <row r="4446" spans="1:11" ht="42" customHeight="1">
      <c r="A4446" s="2" t="s">
        <v>10611</v>
      </c>
      <c r="B4446" s="2" t="s">
        <v>10612</v>
      </c>
      <c r="C4446" s="2" t="s">
        <v>26</v>
      </c>
      <c r="D4446" s="2" t="s">
        <v>27</v>
      </c>
      <c r="E4446" s="5">
        <v>-29796</v>
      </c>
      <c r="F4446" s="3" t="s">
        <v>1359</v>
      </c>
      <c r="G4446" s="3" t="s">
        <v>20</v>
      </c>
      <c r="H4446" s="2" t="s">
        <v>36</v>
      </c>
      <c r="I4446" s="2" t="s">
        <v>10613</v>
      </c>
      <c r="J4446" s="3" t="str">
        <f>HYPERLINK("https://www.boe.es/gazeta/dias/1818/06/02/pdfs/GMD-1818-66.pdf#page=7","Abrir facsímil")</f>
        <v>Abrir facsímil</v>
      </c>
      <c r="K4446" s="3" t="s">
        <v>38</v>
      </c>
    </row>
    <row r="4447" spans="1:11" ht="42" customHeight="1">
      <c r="A4447" s="2" t="s">
        <v>10614</v>
      </c>
      <c r="B4447" s="2" t="s">
        <v>10615</v>
      </c>
      <c r="C4447" s="2" t="s">
        <v>26</v>
      </c>
      <c r="D4447" s="2" t="s">
        <v>27</v>
      </c>
      <c r="E4447" s="5">
        <v>-29722</v>
      </c>
      <c r="F4447" s="3" t="s">
        <v>1127</v>
      </c>
      <c r="G4447" s="3" t="s">
        <v>106</v>
      </c>
      <c r="H4447" s="2" t="s">
        <v>36</v>
      </c>
      <c r="I4447" s="2" t="s">
        <v>10616</v>
      </c>
      <c r="J4447" s="3" t="str">
        <f>HYPERLINK("https://www.boe.es/gazeta/dias/1818/08/15/pdfs/GMD-1818-98.pdf#page=5","Abrir facsímil")</f>
        <v>Abrir facsímil</v>
      </c>
      <c r="K4447" s="3" t="s">
        <v>38</v>
      </c>
    </row>
    <row r="4448" spans="1:11" ht="42" customHeight="1">
      <c r="A4448" s="2" t="s">
        <v>10617</v>
      </c>
      <c r="B4448" s="2" t="s">
        <v>10618</v>
      </c>
      <c r="C4448" s="2" t="s">
        <v>26</v>
      </c>
      <c r="D4448" s="2" t="s">
        <v>27</v>
      </c>
      <c r="E4448" s="5">
        <v>-29892</v>
      </c>
      <c r="F4448" s="3" t="s">
        <v>39</v>
      </c>
      <c r="G4448" s="3" t="s">
        <v>3970</v>
      </c>
      <c r="H4448" s="2" t="s">
        <v>36</v>
      </c>
      <c r="I4448" s="2" t="s">
        <v>10619</v>
      </c>
      <c r="J4448" s="3" t="str">
        <f>HYPERLINK("https://www.boe.es/gazeta/dias/1818/02/26/pdfs/GMD-1818-25.pdf#page=4","Abrir facsímil")</f>
        <v>Abrir facsímil</v>
      </c>
      <c r="K4448" s="3" t="s">
        <v>38</v>
      </c>
    </row>
    <row r="4449" spans="1:11" ht="42" customHeight="1">
      <c r="A4449" s="2" t="s">
        <v>10617</v>
      </c>
      <c r="B4449" s="2" t="s">
        <v>10618</v>
      </c>
      <c r="C4449" s="2" t="s">
        <v>26</v>
      </c>
      <c r="D4449" s="2" t="s">
        <v>27</v>
      </c>
      <c r="E4449" s="5">
        <v>-29892</v>
      </c>
      <c r="F4449" s="3" t="s">
        <v>39</v>
      </c>
      <c r="G4449" s="3" t="s">
        <v>106</v>
      </c>
      <c r="H4449" s="2" t="s">
        <v>36</v>
      </c>
      <c r="I4449" s="2" t="s">
        <v>10620</v>
      </c>
      <c r="J4449" s="3" t="str">
        <f>HYPERLINK("https://www.boe.es/gazeta/dias/1818/02/26/pdfs/GMD-1818-25.pdf#page=5","Abrir facsímil")</f>
        <v>Abrir facsímil</v>
      </c>
      <c r="K4449" s="3" t="s">
        <v>38</v>
      </c>
    </row>
    <row r="4450" spans="1:11" ht="42" customHeight="1">
      <c r="A4450" s="2" t="s">
        <v>10617</v>
      </c>
      <c r="B4450" s="2" t="s">
        <v>10618</v>
      </c>
      <c r="C4450" s="2" t="s">
        <v>26</v>
      </c>
      <c r="D4450" s="2" t="s">
        <v>27</v>
      </c>
      <c r="E4450" s="5">
        <v>-29645</v>
      </c>
      <c r="F4450" s="3" t="s">
        <v>577</v>
      </c>
      <c r="G4450" s="3" t="s">
        <v>29</v>
      </c>
      <c r="H4450" s="2" t="s">
        <v>36</v>
      </c>
      <c r="I4450" s="2" t="s">
        <v>10621</v>
      </c>
      <c r="J4450" s="3" t="str">
        <f>HYPERLINK("https://www.boe.es/gazeta/dias/1818/10/31/pdfs/GMD-1818-132.pdf#page=4","Abrir facsímil")</f>
        <v>Abrir facsímil</v>
      </c>
      <c r="K4450" s="3" t="s">
        <v>38</v>
      </c>
    </row>
    <row r="4451" spans="1:11" ht="42" customHeight="1">
      <c r="A4451" s="2" t="s">
        <v>10622</v>
      </c>
      <c r="B4451" s="2" t="s">
        <v>10623</v>
      </c>
      <c r="C4451" s="2" t="s">
        <v>215</v>
      </c>
      <c r="D4451" s="2" t="s">
        <v>18</v>
      </c>
      <c r="E4451" s="5">
        <v>-29908</v>
      </c>
      <c r="F4451" s="3" t="s">
        <v>695</v>
      </c>
      <c r="G4451" s="3" t="s">
        <v>45</v>
      </c>
      <c r="H4451" s="2" t="s">
        <v>36</v>
      </c>
      <c r="I4451" s="2" t="s">
        <v>10624</v>
      </c>
      <c r="J4451" s="3" t="str">
        <f>HYPERLINK("https://www.boe.es/gazeta/dias/1818/02/10/pdfs/GMD-1818-18.pdf#page=8","Abrir facsímil")</f>
        <v>Abrir facsímil</v>
      </c>
      <c r="K4451" s="3" t="s">
        <v>38</v>
      </c>
    </row>
    <row r="4452" spans="1:11" ht="42" customHeight="1">
      <c r="A4452" s="2" t="s">
        <v>10622</v>
      </c>
      <c r="B4452" s="2" t="s">
        <v>10623</v>
      </c>
      <c r="C4452" s="2" t="s">
        <v>63</v>
      </c>
      <c r="D4452" s="2" t="s">
        <v>18</v>
      </c>
      <c r="E4452" s="5">
        <v>-29848</v>
      </c>
      <c r="F4452" s="3" t="s">
        <v>571</v>
      </c>
      <c r="G4452" s="3" t="s">
        <v>45</v>
      </c>
      <c r="H4452" s="2" t="s">
        <v>36</v>
      </c>
      <c r="I4452" s="2" t="s">
        <v>10625</v>
      </c>
      <c r="J4452" s="3" t="str">
        <f>HYPERLINK("https://www.boe.es/gazeta/dias/1818/04/11/pdfs/GMD-1818-44.pdf#page=8","Abrir facsímil")</f>
        <v>Abrir facsímil</v>
      </c>
      <c r="K4452" s="3" t="s">
        <v>38</v>
      </c>
    </row>
    <row r="4453" spans="1:11" ht="42" customHeight="1">
      <c r="A4453" s="2" t="s">
        <v>10626</v>
      </c>
      <c r="B4453" s="2" t="s">
        <v>10627</v>
      </c>
      <c r="C4453" s="2" t="s">
        <v>33</v>
      </c>
      <c r="D4453" s="2" t="s">
        <v>18</v>
      </c>
      <c r="E4453" s="5">
        <v>-29771</v>
      </c>
      <c r="F4453" s="3" t="s">
        <v>1260</v>
      </c>
      <c r="G4453" s="3" t="s">
        <v>45</v>
      </c>
      <c r="H4453" s="2" t="s">
        <v>21</v>
      </c>
      <c r="I4453" s="2" t="s">
        <v>10628</v>
      </c>
      <c r="J4453" s="3" t="str">
        <f>HYPERLINK("https://www.boe.es/gazeta/dias/1818/06/27/pdfs/GMD-1818-77.pdf#page=8","Abrir facsímil")</f>
        <v>Abrir facsímil</v>
      </c>
      <c r="K4453" s="3" t="s">
        <v>23</v>
      </c>
    </row>
    <row r="4454" spans="1:11" ht="42" customHeight="1">
      <c r="A4454" s="2" t="s">
        <v>10629</v>
      </c>
      <c r="B4454" s="2" t="s">
        <v>10629</v>
      </c>
      <c r="C4454" s="2" t="s">
        <v>26</v>
      </c>
      <c r="D4454" s="2" t="s">
        <v>27</v>
      </c>
      <c r="E4454" s="5">
        <v>-29901</v>
      </c>
      <c r="F4454" s="3" t="s">
        <v>417</v>
      </c>
      <c r="G4454" s="3" t="s">
        <v>45</v>
      </c>
      <c r="H4454" s="2" t="s">
        <v>36</v>
      </c>
      <c r="I4454" s="2" t="s">
        <v>10630</v>
      </c>
      <c r="J4454" s="3" t="str">
        <f>HYPERLINK("https://www.boe.es/gazeta/dias/1818/02/17/pdfs/GMD-1818-21.pdf#page=8","Abrir facsímil")</f>
        <v>Abrir facsímil</v>
      </c>
      <c r="K4454" s="3" t="s">
        <v>38</v>
      </c>
    </row>
    <row r="4455" spans="1:11" ht="42" customHeight="1">
      <c r="A4455" s="2" t="s">
        <v>10631</v>
      </c>
      <c r="B4455" s="2" t="s">
        <v>10632</v>
      </c>
      <c r="C4455" s="2" t="s">
        <v>26</v>
      </c>
      <c r="D4455" s="2" t="s">
        <v>27</v>
      </c>
      <c r="E4455" s="5">
        <v>-29591</v>
      </c>
      <c r="F4455" s="3" t="s">
        <v>1414</v>
      </c>
      <c r="G4455" s="3" t="s">
        <v>45</v>
      </c>
      <c r="H4455" s="2" t="s">
        <v>36</v>
      </c>
      <c r="I4455" s="2" t="s">
        <v>10633</v>
      </c>
      <c r="J4455" s="3" t="str">
        <f>HYPERLINK("https://www.boe.es/gazeta/dias/1818/12/24/pdfs/GMD-1818-155.pdf#page=8","Abrir facsímil")</f>
        <v>Abrir facsímil</v>
      </c>
      <c r="K4455" s="3" t="s">
        <v>38</v>
      </c>
    </row>
    <row r="4456" spans="1:11" ht="42" customHeight="1">
      <c r="A4456" s="2" t="s">
        <v>10634</v>
      </c>
      <c r="B4456" s="2" t="s">
        <v>10635</v>
      </c>
      <c r="C4456" s="2" t="s">
        <v>68</v>
      </c>
      <c r="D4456" s="2" t="s">
        <v>69</v>
      </c>
      <c r="E4456" s="5">
        <v>-29656</v>
      </c>
      <c r="F4456" s="3" t="s">
        <v>601</v>
      </c>
      <c r="G4456" s="3" t="s">
        <v>45</v>
      </c>
      <c r="H4456" s="2" t="s">
        <v>36</v>
      </c>
      <c r="I4456" s="2" t="s">
        <v>10636</v>
      </c>
      <c r="J4456" s="3" t="str">
        <f>HYPERLINK("https://www.boe.es/gazeta/dias/1818/10/20/pdfs/GMD-1818-127.pdf#page=8","Abrir facsímil")</f>
        <v>Abrir facsímil</v>
      </c>
      <c r="K4456" s="3" t="s">
        <v>38</v>
      </c>
    </row>
    <row r="4457" spans="1:11" ht="42" customHeight="1">
      <c r="A4457" s="2" t="s">
        <v>10637</v>
      </c>
      <c r="B4457" s="2" t="s">
        <v>10638</v>
      </c>
      <c r="C4457" s="2" t="s">
        <v>26</v>
      </c>
      <c r="D4457" s="2" t="s">
        <v>27</v>
      </c>
      <c r="E4457" s="5">
        <v>-29829</v>
      </c>
      <c r="F4457" s="3" t="s">
        <v>44</v>
      </c>
      <c r="G4457" s="3" t="s">
        <v>45</v>
      </c>
      <c r="H4457" s="2" t="s">
        <v>21</v>
      </c>
      <c r="I4457" s="2" t="s">
        <v>10639</v>
      </c>
      <c r="J4457" s="3" t="str">
        <f>HYPERLINK("https://www.boe.es/gazeta/dias/1818/04/30/pdfs/GMD-1818-52.pdf#page=8","Abrir facsímil")</f>
        <v>Abrir facsímil</v>
      </c>
      <c r="K4457" s="3" t="s">
        <v>23</v>
      </c>
    </row>
    <row r="4458" spans="1:11" ht="42" customHeight="1">
      <c r="A4458" s="2" t="s">
        <v>10640</v>
      </c>
      <c r="B4458" s="2" t="s">
        <v>10640</v>
      </c>
      <c r="C4458" s="2" t="s">
        <v>26</v>
      </c>
      <c r="D4458" s="2" t="s">
        <v>27</v>
      </c>
      <c r="E4458" s="5">
        <v>-29792</v>
      </c>
      <c r="F4458" s="3" t="s">
        <v>948</v>
      </c>
      <c r="G4458" s="3" t="s">
        <v>120</v>
      </c>
      <c r="H4458" s="2" t="s">
        <v>36</v>
      </c>
      <c r="I4458" s="2" t="s">
        <v>10641</v>
      </c>
      <c r="J4458" s="3" t="str">
        <f>HYPERLINK("https://www.boe.es/gazeta/dias/1818/06/06/pdfs/GMD-1818-68.pdf#page=2","Abrir facsímil")</f>
        <v>Abrir facsímil</v>
      </c>
      <c r="K4458" s="3" t="s">
        <v>38</v>
      </c>
    </row>
    <row r="4459" spans="1:11" ht="42" customHeight="1">
      <c r="A4459" s="2" t="s">
        <v>10642</v>
      </c>
      <c r="B4459" s="2" t="s">
        <v>10643</v>
      </c>
      <c r="C4459" s="2" t="s">
        <v>17</v>
      </c>
      <c r="D4459" s="2" t="s">
        <v>18</v>
      </c>
      <c r="E4459" s="5">
        <v>-29750</v>
      </c>
      <c r="F4459" s="3" t="s">
        <v>384</v>
      </c>
      <c r="G4459" s="3" t="s">
        <v>59</v>
      </c>
      <c r="H4459" s="2" t="s">
        <v>36</v>
      </c>
      <c r="I4459" s="2" t="s">
        <v>10644</v>
      </c>
      <c r="J4459" s="3" t="str">
        <f>HYPERLINK("https://www.boe.es/gazeta/dias/1818/07/18/pdfs/GMD-1818-86.pdf#page=6","Abrir facsímil")</f>
        <v>Abrir facsímil</v>
      </c>
      <c r="K4459" s="3" t="s">
        <v>38</v>
      </c>
    </row>
    <row r="4460" spans="1:11" ht="42" customHeight="1">
      <c r="A4460" s="2" t="s">
        <v>10645</v>
      </c>
      <c r="B4460" s="2" t="s">
        <v>10646</v>
      </c>
      <c r="C4460" s="2" t="s">
        <v>17</v>
      </c>
      <c r="D4460" s="2" t="s">
        <v>18</v>
      </c>
      <c r="E4460" s="5">
        <v>-29698</v>
      </c>
      <c r="F4460" s="3" t="s">
        <v>148</v>
      </c>
      <c r="G4460" s="3" t="s">
        <v>29</v>
      </c>
      <c r="H4460" s="2" t="s">
        <v>36</v>
      </c>
      <c r="I4460" s="2" t="s">
        <v>10647</v>
      </c>
      <c r="J4460" s="3" t="str">
        <f>HYPERLINK("https://www.boe.es/gazeta/dias/1818/09/08/pdfs/GMD-1818-108.pdf#page=4","Abrir facsímil")</f>
        <v>Abrir facsímil</v>
      </c>
      <c r="K4460" s="3" t="s">
        <v>38</v>
      </c>
    </row>
    <row r="4461" spans="1:11" ht="42" customHeight="1">
      <c r="A4461" s="2" t="s">
        <v>10648</v>
      </c>
      <c r="B4461" s="2" t="s">
        <v>10649</v>
      </c>
      <c r="C4461" s="2" t="s">
        <v>17</v>
      </c>
      <c r="D4461" s="2" t="s">
        <v>18</v>
      </c>
      <c r="E4461" s="5">
        <v>-29698</v>
      </c>
      <c r="F4461" s="3" t="s">
        <v>148</v>
      </c>
      <c r="G4461" s="3" t="s">
        <v>59</v>
      </c>
      <c r="H4461" s="2" t="s">
        <v>36</v>
      </c>
      <c r="I4461" s="2" t="s">
        <v>10650</v>
      </c>
      <c r="J4461" s="3" t="str">
        <f>HYPERLINK("https://www.boe.es/gazeta/dias/1818/09/08/pdfs/GMD-1818-108.pdf#page=6","Abrir facsímil")</f>
        <v>Abrir facsímil</v>
      </c>
      <c r="K4461" s="3" t="s">
        <v>38</v>
      </c>
    </row>
    <row r="4462" spans="1:11" ht="42" customHeight="1">
      <c r="A4462" s="2" t="s">
        <v>10651</v>
      </c>
      <c r="B4462" s="2" t="s">
        <v>10652</v>
      </c>
      <c r="C4462" s="2" t="s">
        <v>57</v>
      </c>
      <c r="D4462" s="2" t="s">
        <v>18</v>
      </c>
      <c r="E4462" s="5">
        <v>-29621</v>
      </c>
      <c r="F4462" s="3" t="s">
        <v>1561</v>
      </c>
      <c r="G4462" s="3" t="s">
        <v>45</v>
      </c>
      <c r="H4462" s="2" t="s">
        <v>36</v>
      </c>
      <c r="I4462" s="2" t="s">
        <v>10653</v>
      </c>
      <c r="J4462" s="3" t="str">
        <f>HYPERLINK("https://www.boe.es/gazeta/dias/1818/11/24/pdfs/GMD-1818-142.pdf#page=8","Abrir facsímil")</f>
        <v>Abrir facsímil</v>
      </c>
      <c r="K4462" s="3" t="s">
        <v>38</v>
      </c>
    </row>
    <row r="4463" spans="1:11" ht="42" customHeight="1">
      <c r="A4463" s="2" t="s">
        <v>10654</v>
      </c>
      <c r="B4463" s="2" t="s">
        <v>10655</v>
      </c>
      <c r="C4463" s="2" t="s">
        <v>26</v>
      </c>
      <c r="D4463" s="2" t="s">
        <v>27</v>
      </c>
      <c r="E4463" s="5">
        <v>-29806</v>
      </c>
      <c r="F4463" s="3" t="s">
        <v>84</v>
      </c>
      <c r="G4463" s="3" t="s">
        <v>4726</v>
      </c>
      <c r="H4463" s="2" t="s">
        <v>36</v>
      </c>
      <c r="I4463" s="2" t="s">
        <v>10656</v>
      </c>
      <c r="J4463" s="3" t="str">
        <f>HYPERLINK("https://www.boe.es/gazeta/dias/1818/05/23/pdfs/GMD-1818-62.pdf#page=5","Abrir facsímil")</f>
        <v>Abrir facsímil</v>
      </c>
      <c r="K4463" s="3" t="s">
        <v>38</v>
      </c>
    </row>
    <row r="4464" spans="1:11" ht="42" customHeight="1">
      <c r="A4464" s="2" t="s">
        <v>10657</v>
      </c>
      <c r="B4464" s="2" t="s">
        <v>10658</v>
      </c>
      <c r="C4464" s="2" t="s">
        <v>68</v>
      </c>
      <c r="D4464" s="2" t="s">
        <v>69</v>
      </c>
      <c r="E4464" s="5">
        <v>-29771</v>
      </c>
      <c r="F4464" s="3" t="s">
        <v>1260</v>
      </c>
      <c r="G4464" s="3" t="s">
        <v>45</v>
      </c>
      <c r="H4464" s="2" t="s">
        <v>36</v>
      </c>
      <c r="I4464" s="2" t="s">
        <v>10659</v>
      </c>
      <c r="J4464" s="3" t="str">
        <f>HYPERLINK("https://www.boe.es/gazeta/dias/1818/06/27/pdfs/GMD-1818-77.pdf#page=8","Abrir facsímil")</f>
        <v>Abrir facsímil</v>
      </c>
      <c r="K4464" s="3" t="s">
        <v>38</v>
      </c>
    </row>
    <row r="4465" spans="1:11" ht="42" customHeight="1">
      <c r="A4465" s="2" t="s">
        <v>10660</v>
      </c>
      <c r="B4465" s="2" t="s">
        <v>10661</v>
      </c>
      <c r="C4465" s="2" t="s">
        <v>17</v>
      </c>
      <c r="D4465" s="2" t="s">
        <v>18</v>
      </c>
      <c r="E4465" s="5">
        <v>-29680</v>
      </c>
      <c r="F4465" s="3" t="s">
        <v>865</v>
      </c>
      <c r="G4465" s="3" t="s">
        <v>20</v>
      </c>
      <c r="H4465" s="2" t="s">
        <v>36</v>
      </c>
      <c r="I4465" s="2" t="s">
        <v>10662</v>
      </c>
      <c r="J4465" s="3" t="str">
        <f>HYPERLINK("https://www.boe.es/gazeta/dias/1818/09/26/pdfs/GMD-1818-116.pdf#page=7","Abrir facsímil")</f>
        <v>Abrir facsímil</v>
      </c>
      <c r="K4465" s="3" t="s">
        <v>38</v>
      </c>
    </row>
    <row r="4466" spans="1:11" ht="42" customHeight="1"/>
    <row r="4467" spans="1:11" ht="42" customHeight="1"/>
    <row r="4468" spans="1:11" ht="42" customHeight="1"/>
    <row r="4469" spans="1:11" ht="42" customHeight="1"/>
    <row r="4470" spans="1:11" ht="42" customHeight="1"/>
    <row r="4471" spans="1:11" ht="42" customHeight="1"/>
    <row r="4472" spans="1:11" ht="42" customHeight="1"/>
    <row r="4473" spans="1:11" ht="42" customHeight="1"/>
    <row r="4474" spans="1:11" ht="42" customHeight="1"/>
    <row r="4475" spans="1:11" ht="42" customHeight="1"/>
    <row r="4476" spans="1:11" ht="42" customHeight="1"/>
    <row r="4477" spans="1:11" ht="42" customHeight="1"/>
    <row r="4478" spans="1:11" ht="42" customHeight="1"/>
    <row r="4479" spans="1:11" ht="42" customHeight="1"/>
    <row r="4480" spans="1:11"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4465">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10663</v>
      </c>
      <c r="B1" s="8"/>
      <c r="C1" s="8"/>
      <c r="D1" s="8"/>
      <c r="E1" s="8"/>
      <c r="F1" s="8"/>
    </row>
    <row r="2" spans="1:6" ht="22.05" customHeight="1">
      <c r="A2" s="12" t="s">
        <v>10664</v>
      </c>
      <c r="B2" s="12"/>
      <c r="C2" s="12"/>
      <c r="D2" s="12"/>
      <c r="E2" s="12"/>
      <c r="F2" s="12"/>
    </row>
    <row r="4" spans="1:6" ht="30" customHeight="1">
      <c r="A4" s="1" t="s">
        <v>8</v>
      </c>
      <c r="B4" s="1" t="s">
        <v>9</v>
      </c>
      <c r="C4" s="1" t="s">
        <v>10665</v>
      </c>
      <c r="D4" s="1" t="s">
        <v>10666</v>
      </c>
      <c r="E4" s="1" t="s">
        <v>10667</v>
      </c>
      <c r="F4" s="1" t="s">
        <v>10668</v>
      </c>
    </row>
    <row r="5" spans="1:6" ht="31.05" customHeight="1">
      <c r="A5" s="6">
        <v>-29948</v>
      </c>
      <c r="B5" s="2" t="s">
        <v>199</v>
      </c>
      <c r="C5" s="2" t="s">
        <v>10669</v>
      </c>
      <c r="D5" s="3">
        <v>8</v>
      </c>
      <c r="E5" s="3">
        <v>31</v>
      </c>
      <c r="F5" s="3" t="str">
        <f>HYPERLINK("https://www.boe.es/gazeta/dias/1818/01/01/pdfs/GMD-1818-1.pdf","Abrir PDF")</f>
        <v>Abrir PDF</v>
      </c>
    </row>
    <row r="6" spans="1:6" ht="31.05" customHeight="1">
      <c r="A6" s="6">
        <v>-29946</v>
      </c>
      <c r="B6" s="2" t="s">
        <v>724</v>
      </c>
      <c r="C6" s="2" t="s">
        <v>10670</v>
      </c>
      <c r="D6" s="3">
        <v>8</v>
      </c>
      <c r="E6" s="3">
        <v>25</v>
      </c>
      <c r="F6" s="3" t="str">
        <f>HYPERLINK("https://www.boe.es/gazeta/dias/1818/01/03/pdfs/GMD-1818-2.pdf","Abrir PDF")</f>
        <v>Abrir PDF</v>
      </c>
    </row>
    <row r="7" spans="1:6" ht="31.05" customHeight="1">
      <c r="A7" s="6">
        <v>-29943</v>
      </c>
      <c r="B7" s="2" t="s">
        <v>1837</v>
      </c>
      <c r="C7" s="2" t="s">
        <v>10671</v>
      </c>
      <c r="D7" s="3">
        <v>8</v>
      </c>
      <c r="E7" s="3">
        <v>16</v>
      </c>
      <c r="F7" s="3" t="str">
        <f>HYPERLINK("https://www.boe.es/gazeta/dias/1818/01/06/pdfs/GMD-1818-3.pdf","Abrir PDF")</f>
        <v>Abrir PDF</v>
      </c>
    </row>
    <row r="8" spans="1:6" ht="31.05" customHeight="1">
      <c r="A8" s="6">
        <v>-29941</v>
      </c>
      <c r="B8" s="2" t="s">
        <v>2259</v>
      </c>
      <c r="C8" s="2" t="s">
        <v>10672</v>
      </c>
      <c r="D8" s="3">
        <v>8</v>
      </c>
      <c r="E8" s="3">
        <v>13</v>
      </c>
      <c r="F8" s="3" t="str">
        <f>HYPERLINK("https://www.boe.es/gazeta/dias/1818/01/08/pdfs/GMD-1818-4.pdf","Abrir PDF")</f>
        <v>Abrir PDF</v>
      </c>
    </row>
    <row r="9" spans="1:6" ht="31.05" customHeight="1">
      <c r="A9" s="6">
        <v>-29939</v>
      </c>
      <c r="B9" s="2" t="s">
        <v>110</v>
      </c>
      <c r="C9" s="2" t="s">
        <v>10673</v>
      </c>
      <c r="D9" s="3">
        <v>12</v>
      </c>
      <c r="E9" s="3">
        <v>46</v>
      </c>
      <c r="F9" s="3" t="str">
        <f>HYPERLINK("https://www.boe.es/gazeta/dias/1818/01/10/pdfs/GMD-1818-5.pdf","Abrir PDF")</f>
        <v>Abrir PDF</v>
      </c>
    </row>
    <row r="10" spans="1:6" ht="31.05" customHeight="1">
      <c r="A10" s="6">
        <v>-29936</v>
      </c>
      <c r="B10" s="2" t="s">
        <v>398</v>
      </c>
      <c r="C10" s="2" t="s">
        <v>10674</v>
      </c>
      <c r="D10" s="3">
        <v>8</v>
      </c>
      <c r="E10" s="3">
        <v>43</v>
      </c>
      <c r="F10" s="3" t="str">
        <f>HYPERLINK("https://www.boe.es/gazeta/dias/1818/01/13/pdfs/GMD-1818-6.pdf","Abrir PDF")</f>
        <v>Abrir PDF</v>
      </c>
    </row>
    <row r="11" spans="1:6" ht="31.05" customHeight="1">
      <c r="A11" s="6">
        <v>-29934</v>
      </c>
      <c r="B11" s="2" t="s">
        <v>53</v>
      </c>
      <c r="C11" s="2" t="s">
        <v>10675</v>
      </c>
      <c r="D11" s="3">
        <v>8</v>
      </c>
      <c r="E11" s="3">
        <v>52</v>
      </c>
      <c r="F11" s="3" t="str">
        <f>HYPERLINK("https://www.boe.es/gazeta/dias/1818/01/15/pdfs/GMD-1818-7.pdf","Abrir PDF")</f>
        <v>Abrir PDF</v>
      </c>
    </row>
    <row r="12" spans="1:6" ht="31.05" customHeight="1">
      <c r="A12" s="6">
        <v>-29932</v>
      </c>
      <c r="B12" s="2" t="s">
        <v>34</v>
      </c>
      <c r="C12" s="2" t="s">
        <v>10676</v>
      </c>
      <c r="D12" s="3">
        <v>8</v>
      </c>
      <c r="E12" s="3">
        <v>38</v>
      </c>
      <c r="F12" s="3" t="str">
        <f>HYPERLINK("https://www.boe.es/gazeta/dias/1818/01/17/pdfs/GMD-1818-8.pdf","Abrir PDF")</f>
        <v>Abrir PDF</v>
      </c>
    </row>
    <row r="13" spans="1:6" ht="31.05" customHeight="1">
      <c r="A13" s="6">
        <v>-29929</v>
      </c>
      <c r="B13" s="2" t="s">
        <v>204</v>
      </c>
      <c r="C13" s="2" t="s">
        <v>10677</v>
      </c>
      <c r="D13" s="3">
        <v>8</v>
      </c>
      <c r="E13" s="3">
        <v>20</v>
      </c>
      <c r="F13" s="3" t="str">
        <f>HYPERLINK("https://www.boe.es/gazeta/dias/1818/01/20/pdfs/GMD-1818-9.pdf","Abrir PDF")</f>
        <v>Abrir PDF</v>
      </c>
    </row>
    <row r="14" spans="1:6" ht="31.05" customHeight="1">
      <c r="A14" s="6">
        <v>-29927</v>
      </c>
      <c r="B14" s="2" t="s">
        <v>1381</v>
      </c>
      <c r="C14" s="2" t="s">
        <v>10678</v>
      </c>
      <c r="D14" s="3">
        <v>8</v>
      </c>
      <c r="E14" s="3">
        <v>21</v>
      </c>
      <c r="F14" s="3" t="str">
        <f>HYPERLINK("https://www.boe.es/gazeta/dias/1818/01/22/pdfs/GMD-1818-10.pdf","Abrir PDF")</f>
        <v>Abrir PDF</v>
      </c>
    </row>
    <row r="15" spans="1:6" ht="31.05" customHeight="1">
      <c r="A15" s="6">
        <v>-29925</v>
      </c>
      <c r="B15" s="2" t="s">
        <v>447</v>
      </c>
      <c r="C15" s="2" t="s">
        <v>10679</v>
      </c>
      <c r="D15" s="3">
        <v>8</v>
      </c>
      <c r="E15" s="3">
        <v>26</v>
      </c>
      <c r="F15" s="3" t="str">
        <f>HYPERLINK("https://www.boe.es/gazeta/dias/1818/01/24/pdfs/GMD-1818-11.pdf","Abrir PDF")</f>
        <v>Abrir PDF</v>
      </c>
    </row>
    <row r="16" spans="1:6" ht="31.05" customHeight="1">
      <c r="A16" s="6">
        <v>-29922</v>
      </c>
      <c r="B16" s="2" t="s">
        <v>174</v>
      </c>
      <c r="C16" s="2" t="s">
        <v>10680</v>
      </c>
      <c r="D16" s="3">
        <v>8</v>
      </c>
      <c r="E16" s="3">
        <v>28</v>
      </c>
      <c r="F16" s="3" t="str">
        <f>HYPERLINK("https://www.boe.es/gazeta/dias/1818/01/27/pdfs/GMD-1818-12.pdf","Abrir PDF")</f>
        <v>Abrir PDF</v>
      </c>
    </row>
    <row r="17" spans="1:6" ht="31.05" customHeight="1">
      <c r="A17" s="6">
        <v>-29920</v>
      </c>
      <c r="B17" s="2" t="s">
        <v>201</v>
      </c>
      <c r="C17" s="2" t="s">
        <v>10681</v>
      </c>
      <c r="D17" s="3">
        <v>16</v>
      </c>
      <c r="E17" s="3">
        <v>76</v>
      </c>
      <c r="F17" s="3" t="str">
        <f>HYPERLINK("https://www.boe.es/gazeta/dias/1818/01/29/pdfs/GMD-1818-13.pdf","Abrir PDF")</f>
        <v>Abrir PDF</v>
      </c>
    </row>
    <row r="18" spans="1:6" ht="31.05" customHeight="1">
      <c r="A18" s="6">
        <v>-29918</v>
      </c>
      <c r="B18" s="2" t="s">
        <v>89</v>
      </c>
      <c r="C18" s="2" t="s">
        <v>10682</v>
      </c>
      <c r="D18" s="3">
        <v>12</v>
      </c>
      <c r="E18" s="3">
        <v>43</v>
      </c>
      <c r="F18" s="3" t="str">
        <f>HYPERLINK("https://www.boe.es/gazeta/dias/1818/01/31/pdfs/GMD-1818-14.pdf","Abrir PDF")</f>
        <v>Abrir PDF</v>
      </c>
    </row>
    <row r="19" spans="1:6" ht="31.05" customHeight="1">
      <c r="A19" s="6">
        <v>-29915</v>
      </c>
      <c r="B19" s="2" t="s">
        <v>429</v>
      </c>
      <c r="C19" s="2" t="s">
        <v>10683</v>
      </c>
      <c r="D19" s="3">
        <v>8</v>
      </c>
      <c r="E19" s="3">
        <v>41</v>
      </c>
      <c r="F19" s="3" t="str">
        <f>HYPERLINK("https://www.boe.es/gazeta/dias/1818/02/03/pdfs/GMD-1818-15.pdf","Abrir PDF")</f>
        <v>Abrir PDF</v>
      </c>
    </row>
    <row r="20" spans="1:6" ht="31.05" customHeight="1">
      <c r="A20" s="6">
        <v>-29913</v>
      </c>
      <c r="B20" s="2" t="s">
        <v>449</v>
      </c>
      <c r="C20" s="2" t="s">
        <v>10684</v>
      </c>
      <c r="D20" s="3">
        <v>8</v>
      </c>
      <c r="E20" s="3">
        <v>51</v>
      </c>
      <c r="F20" s="3" t="str">
        <f>HYPERLINK("https://www.boe.es/gazeta/dias/1818/02/05/pdfs/GMD-1818-16.pdf","Abrir PDF")</f>
        <v>Abrir PDF</v>
      </c>
    </row>
    <row r="21" spans="1:6" ht="31.05" customHeight="1">
      <c r="A21" s="6">
        <v>-29911</v>
      </c>
      <c r="B21" s="2" t="s">
        <v>509</v>
      </c>
      <c r="C21" s="2" t="s">
        <v>10685</v>
      </c>
      <c r="D21" s="3">
        <v>8</v>
      </c>
      <c r="E21" s="3">
        <v>20</v>
      </c>
      <c r="F21" s="3" t="str">
        <f>HYPERLINK("https://www.boe.es/gazeta/dias/1818/02/07/pdfs/GMD-1818-17.pdf","Abrir PDF")</f>
        <v>Abrir PDF</v>
      </c>
    </row>
    <row r="22" spans="1:6" ht="31.05" customHeight="1">
      <c r="A22" s="6">
        <v>-29908</v>
      </c>
      <c r="B22" s="2" t="s">
        <v>695</v>
      </c>
      <c r="C22" s="2" t="s">
        <v>10686</v>
      </c>
      <c r="D22" s="3">
        <v>8</v>
      </c>
      <c r="E22" s="3">
        <v>25</v>
      </c>
      <c r="F22" s="3" t="str">
        <f>HYPERLINK("https://www.boe.es/gazeta/dias/1818/02/10/pdfs/GMD-1818-18.pdf","Abrir PDF")</f>
        <v>Abrir PDF</v>
      </c>
    </row>
    <row r="23" spans="1:6" ht="31.05" customHeight="1">
      <c r="A23" s="6">
        <v>-29906</v>
      </c>
      <c r="B23" s="2" t="s">
        <v>28</v>
      </c>
      <c r="C23" s="2" t="s">
        <v>10687</v>
      </c>
      <c r="D23" s="3">
        <v>8</v>
      </c>
      <c r="E23" s="3">
        <v>28</v>
      </c>
      <c r="F23" s="3" t="str">
        <f>HYPERLINK("https://www.boe.es/gazeta/dias/1818/02/12/pdfs/GMD-1818-19.pdf","Abrir PDF")</f>
        <v>Abrir PDF</v>
      </c>
    </row>
    <row r="24" spans="1:6" ht="31.05" customHeight="1">
      <c r="A24" s="6">
        <v>-29904</v>
      </c>
      <c r="B24" s="2" t="s">
        <v>451</v>
      </c>
      <c r="C24" s="2" t="s">
        <v>10688</v>
      </c>
      <c r="D24" s="3">
        <v>8</v>
      </c>
      <c r="E24" s="3">
        <v>43</v>
      </c>
      <c r="F24" s="3" t="str">
        <f>HYPERLINK("https://www.boe.es/gazeta/dias/1818/02/14/pdfs/GMD-1818-20.pdf","Abrir PDF")</f>
        <v>Abrir PDF</v>
      </c>
    </row>
    <row r="25" spans="1:6" ht="31.05" customHeight="1">
      <c r="A25" s="6">
        <v>-29901</v>
      </c>
      <c r="B25" s="2" t="s">
        <v>417</v>
      </c>
      <c r="C25" s="2" t="s">
        <v>10689</v>
      </c>
      <c r="D25" s="3">
        <v>12</v>
      </c>
      <c r="E25" s="3">
        <v>44</v>
      </c>
      <c r="F25" s="3" t="str">
        <f>HYPERLINK("https://www.boe.es/gazeta/dias/1818/02/17/pdfs/GMD-1818-21.pdf","Abrir PDF")</f>
        <v>Abrir PDF</v>
      </c>
    </row>
    <row r="26" spans="1:6" ht="31.05" customHeight="1">
      <c r="A26" s="6">
        <v>-29899</v>
      </c>
      <c r="B26" s="2" t="s">
        <v>232</v>
      </c>
      <c r="C26" s="2" t="s">
        <v>10690</v>
      </c>
      <c r="D26" s="3">
        <v>8</v>
      </c>
      <c r="E26" s="3">
        <v>20</v>
      </c>
      <c r="F26" s="3" t="str">
        <f>HYPERLINK("https://www.boe.es/gazeta/dias/1818/02/19/pdfs/GMD-1818-22.pdf","Abrir PDF")</f>
        <v>Abrir PDF</v>
      </c>
    </row>
    <row r="27" spans="1:6" ht="31.05" customHeight="1">
      <c r="A27" s="6">
        <v>-29897</v>
      </c>
      <c r="B27" s="2" t="s">
        <v>318</v>
      </c>
      <c r="C27" s="2" t="s">
        <v>10691</v>
      </c>
      <c r="D27" s="3">
        <v>8</v>
      </c>
      <c r="E27" s="3">
        <v>88</v>
      </c>
      <c r="F27" s="3" t="str">
        <f>HYPERLINK("https://www.boe.es/gazeta/dias/1818/02/21/pdfs/GMD-1818-23.pdf","Abrir PDF")</f>
        <v>Abrir PDF</v>
      </c>
    </row>
    <row r="28" spans="1:6" ht="31.05" customHeight="1">
      <c r="A28" s="6">
        <v>-29894</v>
      </c>
      <c r="B28" s="2" t="s">
        <v>820</v>
      </c>
      <c r="C28" s="2" t="s">
        <v>10692</v>
      </c>
      <c r="D28" s="3">
        <v>8</v>
      </c>
      <c r="E28" s="3">
        <v>14</v>
      </c>
      <c r="F28" s="3" t="str">
        <f>HYPERLINK("https://www.boe.es/gazeta/dias/1818/02/24/pdfs/GMD-1818-24.pdf","Abrir PDF")</f>
        <v>Abrir PDF</v>
      </c>
    </row>
    <row r="29" spans="1:6" ht="31.05" customHeight="1">
      <c r="A29" s="6">
        <v>-29892</v>
      </c>
      <c r="B29" s="2" t="s">
        <v>39</v>
      </c>
      <c r="C29" s="2" t="s">
        <v>10693</v>
      </c>
      <c r="D29" s="3">
        <v>8</v>
      </c>
      <c r="E29" s="3">
        <v>33</v>
      </c>
      <c r="F29" s="3" t="str">
        <f>HYPERLINK("https://www.boe.es/gazeta/dias/1818/02/26/pdfs/GMD-1818-25.pdf","Abrir PDF")</f>
        <v>Abrir PDF</v>
      </c>
    </row>
    <row r="30" spans="1:6" ht="31.05" customHeight="1">
      <c r="A30" s="6">
        <v>-29890</v>
      </c>
      <c r="B30" s="2" t="s">
        <v>393</v>
      </c>
      <c r="C30" s="2" t="s">
        <v>10694</v>
      </c>
      <c r="D30" s="3">
        <v>8</v>
      </c>
      <c r="E30" s="3">
        <v>37</v>
      </c>
      <c r="F30" s="3" t="str">
        <f>HYPERLINK("https://www.boe.es/gazeta/dias/1818/02/28/pdfs/GMD-1818-26.pdf","Abrir PDF")</f>
        <v>Abrir PDF</v>
      </c>
    </row>
    <row r="31" spans="1:6" ht="31.05" customHeight="1">
      <c r="A31" s="6">
        <v>-29887</v>
      </c>
      <c r="B31" s="2" t="s">
        <v>613</v>
      </c>
      <c r="C31" s="2" t="s">
        <v>10695</v>
      </c>
      <c r="D31" s="3">
        <v>8</v>
      </c>
      <c r="E31" s="3">
        <v>51</v>
      </c>
      <c r="F31" s="3" t="str">
        <f>HYPERLINK("https://www.boe.es/gazeta/dias/1818/03/03/pdfs/GMD-1818-27.pdf","Abrir PDF")</f>
        <v>Abrir PDF</v>
      </c>
    </row>
    <row r="32" spans="1:6" ht="31.05" customHeight="1">
      <c r="A32" s="6">
        <v>-29885</v>
      </c>
      <c r="B32" s="2" t="s">
        <v>2308</v>
      </c>
      <c r="C32" s="2" t="s">
        <v>10696</v>
      </c>
      <c r="D32" s="3">
        <v>8</v>
      </c>
      <c r="E32" s="3">
        <v>4</v>
      </c>
      <c r="F32" s="3" t="str">
        <f>HYPERLINK("https://www.boe.es/gazeta/dias/1818/03/05/pdfs/GMD-1818-28.pdf","Abrir PDF")</f>
        <v>Abrir PDF</v>
      </c>
    </row>
    <row r="33" spans="1:6" ht="31.05" customHeight="1">
      <c r="A33" s="6">
        <v>-29883</v>
      </c>
      <c r="B33" s="2" t="s">
        <v>823</v>
      </c>
      <c r="C33" s="2" t="s">
        <v>10697</v>
      </c>
      <c r="D33" s="3">
        <v>8</v>
      </c>
      <c r="E33" s="3">
        <v>21</v>
      </c>
      <c r="F33" s="3" t="str">
        <f>HYPERLINK("https://www.boe.es/gazeta/dias/1818/03/07/pdfs/GMD-1818-29.pdf","Abrir PDF")</f>
        <v>Abrir PDF</v>
      </c>
    </row>
    <row r="34" spans="1:6" ht="31.05" customHeight="1">
      <c r="A34" s="6">
        <v>-29880</v>
      </c>
      <c r="B34" s="2" t="s">
        <v>359</v>
      </c>
      <c r="C34" s="2" t="s">
        <v>10698</v>
      </c>
      <c r="D34" s="3">
        <v>8</v>
      </c>
      <c r="E34" s="3">
        <v>28</v>
      </c>
      <c r="F34" s="3" t="str">
        <f>HYPERLINK("https://www.boe.es/gazeta/dias/1818/03/10/pdfs/GMD-1818-30.pdf","Abrir PDF")</f>
        <v>Abrir PDF</v>
      </c>
    </row>
    <row r="35" spans="1:6" ht="31.05" customHeight="1">
      <c r="A35" s="6">
        <v>-29878</v>
      </c>
      <c r="B35" s="2" t="s">
        <v>353</v>
      </c>
      <c r="C35" s="2" t="s">
        <v>10699</v>
      </c>
      <c r="D35" s="3">
        <v>8</v>
      </c>
      <c r="E35" s="3">
        <v>31</v>
      </c>
      <c r="F35" s="3" t="str">
        <f>HYPERLINK("https://www.boe.es/gazeta/dias/1818/03/12/pdfs/GMD-1818-31.pdf","Abrir PDF")</f>
        <v>Abrir PDF</v>
      </c>
    </row>
    <row r="36" spans="1:6" ht="31.05" customHeight="1">
      <c r="A36" s="6">
        <v>-29876</v>
      </c>
      <c r="B36" s="2" t="s">
        <v>338</v>
      </c>
      <c r="C36" s="2" t="s">
        <v>10700</v>
      </c>
      <c r="D36" s="3">
        <v>8</v>
      </c>
      <c r="E36" s="3">
        <v>24</v>
      </c>
      <c r="F36" s="3" t="str">
        <f>HYPERLINK("https://www.boe.es/gazeta/dias/1818/03/14/pdfs/GMD-1818-32.pdf","Abrir PDF")</f>
        <v>Abrir PDF</v>
      </c>
    </row>
    <row r="37" spans="1:6" ht="31.05" customHeight="1">
      <c r="A37" s="6">
        <v>-29873</v>
      </c>
      <c r="B37" s="2" t="s">
        <v>323</v>
      </c>
      <c r="C37" s="2" t="s">
        <v>10701</v>
      </c>
      <c r="D37" s="3">
        <v>8</v>
      </c>
      <c r="E37" s="3">
        <v>10</v>
      </c>
      <c r="F37" s="3" t="str">
        <f>HYPERLINK("https://www.boe.es/gazeta/dias/1818/03/17/pdfs/GMD-1818-33.pdf","Abrir PDF")</f>
        <v>Abrir PDF</v>
      </c>
    </row>
    <row r="38" spans="1:6" ht="31.05" customHeight="1">
      <c r="A38" s="6">
        <v>-29871</v>
      </c>
      <c r="B38" s="2" t="s">
        <v>641</v>
      </c>
      <c r="C38" s="2" t="s">
        <v>10702</v>
      </c>
      <c r="D38" s="3">
        <v>8</v>
      </c>
      <c r="E38" s="3">
        <v>15</v>
      </c>
      <c r="F38" s="3" t="str">
        <f>HYPERLINK("https://www.boe.es/gazeta/dias/1818/03/19/pdfs/GMD-1818-34.pdf","Abrir PDF")</f>
        <v>Abrir PDF</v>
      </c>
    </row>
    <row r="39" spans="1:6" ht="31.05" customHeight="1">
      <c r="A39" s="6">
        <v>-29869</v>
      </c>
      <c r="B39" s="2" t="s">
        <v>140</v>
      </c>
      <c r="C39" s="2" t="s">
        <v>10703</v>
      </c>
      <c r="D39" s="3">
        <v>8</v>
      </c>
      <c r="E39" s="3">
        <v>39</v>
      </c>
      <c r="F39" s="3" t="str">
        <f>HYPERLINK("https://www.boe.es/gazeta/dias/1818/03/21/pdfs/GMD-1818-35.pdf","Abrir PDF")</f>
        <v>Abrir PDF</v>
      </c>
    </row>
    <row r="40" spans="1:6" ht="31.05" customHeight="1">
      <c r="A40" s="6">
        <v>-29866</v>
      </c>
      <c r="B40" s="2" t="s">
        <v>828</v>
      </c>
      <c r="C40" s="2" t="s">
        <v>10704</v>
      </c>
      <c r="D40" s="3">
        <v>8</v>
      </c>
      <c r="E40" s="3">
        <v>18</v>
      </c>
      <c r="F40" s="3" t="str">
        <f>HYPERLINK("https://www.boe.es/gazeta/dias/1818/03/24/pdfs/GMD-1818-36.pdf","Abrir PDF")</f>
        <v>Abrir PDF</v>
      </c>
    </row>
    <row r="41" spans="1:6" ht="31.05" customHeight="1">
      <c r="A41" s="6">
        <v>-29864</v>
      </c>
      <c r="B41" s="2" t="s">
        <v>196</v>
      </c>
      <c r="C41" s="2" t="s">
        <v>10705</v>
      </c>
      <c r="D41" s="3">
        <v>8</v>
      </c>
      <c r="E41" s="3">
        <v>20</v>
      </c>
      <c r="F41" s="3" t="str">
        <f>HYPERLINK("https://www.boe.es/gazeta/dias/1818/03/26/pdfs/GMD-1818-37.pdf","Abrir PDF")</f>
        <v>Abrir PDF</v>
      </c>
    </row>
    <row r="42" spans="1:6" ht="31.05" customHeight="1">
      <c r="A42" s="6">
        <v>-29862</v>
      </c>
      <c r="B42" s="2" t="s">
        <v>925</v>
      </c>
      <c r="C42" s="2" t="s">
        <v>10706</v>
      </c>
      <c r="D42" s="3">
        <v>8</v>
      </c>
      <c r="E42" s="3">
        <v>17</v>
      </c>
      <c r="F42" s="3" t="str">
        <f>HYPERLINK("https://www.boe.es/gazeta/dias/1818/03/28/pdfs/GMD-1818-38.pdf","Abrir PDF")</f>
        <v>Abrir PDF</v>
      </c>
    </row>
    <row r="43" spans="1:6" ht="31.05" customHeight="1">
      <c r="A43" s="6">
        <v>-29859</v>
      </c>
      <c r="B43" s="2" t="s">
        <v>3456</v>
      </c>
      <c r="C43" s="2" t="s">
        <v>10707</v>
      </c>
      <c r="D43" s="3">
        <v>8</v>
      </c>
      <c r="E43" s="3">
        <v>10</v>
      </c>
      <c r="F43" s="3" t="str">
        <f>HYPERLINK("https://www.boe.es/gazeta/dias/1818/03/31/pdfs/GMD-1818-39.pdf","Abrir PDF")</f>
        <v>Abrir PDF</v>
      </c>
    </row>
    <row r="44" spans="1:6" ht="31.05" customHeight="1">
      <c r="A44" s="6">
        <v>-29857</v>
      </c>
      <c r="B44" s="2" t="s">
        <v>831</v>
      </c>
      <c r="C44" s="2" t="s">
        <v>10708</v>
      </c>
      <c r="D44" s="3">
        <v>8</v>
      </c>
      <c r="E44" s="3">
        <v>29</v>
      </c>
      <c r="F44" s="3" t="str">
        <f>HYPERLINK("https://www.boe.es/gazeta/dias/1818/04/02/pdfs/GMD-1818-40.pdf","Abrir PDF")</f>
        <v>Abrir PDF</v>
      </c>
    </row>
    <row r="45" spans="1:6" ht="31.05" customHeight="1">
      <c r="A45" s="6">
        <v>-29855</v>
      </c>
      <c r="B45" s="2" t="s">
        <v>676</v>
      </c>
      <c r="C45" s="2" t="s">
        <v>10709</v>
      </c>
      <c r="D45" s="3">
        <v>8</v>
      </c>
      <c r="E45" s="3">
        <v>22</v>
      </c>
      <c r="F45" s="3" t="str">
        <f>HYPERLINK("https://www.boe.es/gazeta/dias/1818/04/04/pdfs/GMD-1818-41.pdf","Abrir PDF")</f>
        <v>Abrir PDF</v>
      </c>
    </row>
    <row r="46" spans="1:6" ht="31.05" customHeight="1">
      <c r="A46" s="6">
        <v>-29852</v>
      </c>
      <c r="B46" s="2" t="s">
        <v>327</v>
      </c>
      <c r="C46" s="2" t="s">
        <v>10710</v>
      </c>
      <c r="D46" s="3">
        <v>8</v>
      </c>
      <c r="E46" s="3">
        <v>24</v>
      </c>
      <c r="F46" s="3" t="str">
        <f>HYPERLINK("https://www.boe.es/gazeta/dias/1818/04/07/pdfs/GMD-1818-42.pdf","Abrir PDF")</f>
        <v>Abrir PDF</v>
      </c>
    </row>
    <row r="47" spans="1:6" ht="31.05" customHeight="1">
      <c r="A47" s="6">
        <v>-29850</v>
      </c>
      <c r="B47" s="2" t="s">
        <v>1051</v>
      </c>
      <c r="C47" s="2" t="s">
        <v>10711</v>
      </c>
      <c r="D47" s="3">
        <v>8</v>
      </c>
      <c r="E47" s="3">
        <v>14</v>
      </c>
      <c r="F47" s="3" t="str">
        <f>HYPERLINK("https://www.boe.es/gazeta/dias/1818/04/09/pdfs/GMD-1818-43.pdf","Abrir PDF")</f>
        <v>Abrir PDF</v>
      </c>
    </row>
    <row r="48" spans="1:6" ht="31.05" customHeight="1">
      <c r="A48" s="6">
        <v>-29848</v>
      </c>
      <c r="B48" s="2" t="s">
        <v>571</v>
      </c>
      <c r="C48" s="2" t="s">
        <v>10712</v>
      </c>
      <c r="D48" s="3">
        <v>8</v>
      </c>
      <c r="E48" s="3">
        <v>20</v>
      </c>
      <c r="F48" s="3" t="str">
        <f>HYPERLINK("https://www.boe.es/gazeta/dias/1818/04/11/pdfs/GMD-1818-44.pdf","Abrir PDF")</f>
        <v>Abrir PDF</v>
      </c>
    </row>
    <row r="49" spans="1:6" ht="31.05" customHeight="1">
      <c r="A49" s="6">
        <v>-29845</v>
      </c>
      <c r="B49" s="2" t="s">
        <v>105</v>
      </c>
      <c r="C49" s="2" t="s">
        <v>10713</v>
      </c>
      <c r="D49" s="3">
        <v>8</v>
      </c>
      <c r="E49" s="3">
        <v>32</v>
      </c>
      <c r="F49" s="3" t="str">
        <f>HYPERLINK("https://www.boe.es/gazeta/dias/1818/04/14/pdfs/GMD-1818-45.pdf","Abrir PDF")</f>
        <v>Abrir PDF</v>
      </c>
    </row>
    <row r="50" spans="1:6" ht="31.05" customHeight="1">
      <c r="A50" s="6">
        <v>-29843</v>
      </c>
      <c r="B50" s="2" t="s">
        <v>182</v>
      </c>
      <c r="C50" s="2" t="s">
        <v>10714</v>
      </c>
      <c r="D50" s="3">
        <v>8</v>
      </c>
      <c r="E50" s="3">
        <v>22</v>
      </c>
      <c r="F50" s="3" t="str">
        <f>HYPERLINK("https://www.boe.es/gazeta/dias/1818/04/16/pdfs/GMD-1818-46.pdf","Abrir PDF")</f>
        <v>Abrir PDF</v>
      </c>
    </row>
    <row r="51" spans="1:6" ht="31.05" customHeight="1">
      <c r="A51" s="6">
        <v>-29841</v>
      </c>
      <c r="B51" s="2" t="s">
        <v>19</v>
      </c>
      <c r="C51" s="2" t="s">
        <v>10715</v>
      </c>
      <c r="D51" s="3">
        <v>8</v>
      </c>
      <c r="E51" s="3">
        <v>27</v>
      </c>
      <c r="F51" s="3" t="str">
        <f>HYPERLINK("https://www.boe.es/gazeta/dias/1818/04/18/pdfs/GMD-1818-47.pdf","Abrir PDF")</f>
        <v>Abrir PDF</v>
      </c>
    </row>
    <row r="52" spans="1:6" ht="31.05" customHeight="1">
      <c r="A52" s="6">
        <v>-29838</v>
      </c>
      <c r="B52" s="2" t="s">
        <v>593</v>
      </c>
      <c r="C52" s="2" t="s">
        <v>10716</v>
      </c>
      <c r="D52" s="3">
        <v>8</v>
      </c>
      <c r="E52" s="3">
        <v>16</v>
      </c>
      <c r="F52" s="3" t="str">
        <f>HYPERLINK("https://www.boe.es/gazeta/dias/1818/04/21/pdfs/GMD-1818-48.pdf","Abrir PDF")</f>
        <v>Abrir PDF</v>
      </c>
    </row>
    <row r="53" spans="1:6" ht="31.05" customHeight="1">
      <c r="A53" s="6">
        <v>-29836</v>
      </c>
      <c r="B53" s="2" t="s">
        <v>119</v>
      </c>
      <c r="C53" s="2" t="s">
        <v>10717</v>
      </c>
      <c r="D53" s="3">
        <v>8</v>
      </c>
      <c r="E53" s="3">
        <v>14</v>
      </c>
      <c r="F53" s="3" t="str">
        <f>HYPERLINK("https://www.boe.es/gazeta/dias/1818/04/23/pdfs/GMD-1818-49.pdf","Abrir PDF")</f>
        <v>Abrir PDF</v>
      </c>
    </row>
    <row r="54" spans="1:6" ht="31.05" customHeight="1">
      <c r="A54" s="6">
        <v>-29834</v>
      </c>
      <c r="B54" s="2" t="s">
        <v>457</v>
      </c>
      <c r="C54" s="2" t="s">
        <v>10718</v>
      </c>
      <c r="D54" s="3">
        <v>8</v>
      </c>
      <c r="E54" s="3">
        <v>27</v>
      </c>
      <c r="F54" s="3" t="str">
        <f>HYPERLINK("https://www.boe.es/gazeta/dias/1818/04/25/pdfs/GMD-1818-50.pdf","Abrir PDF")</f>
        <v>Abrir PDF</v>
      </c>
    </row>
    <row r="55" spans="1:6" ht="31.05" customHeight="1">
      <c r="A55" s="6">
        <v>-29831</v>
      </c>
      <c r="B55" s="2" t="s">
        <v>567</v>
      </c>
      <c r="C55" s="2" t="s">
        <v>10719</v>
      </c>
      <c r="D55" s="3">
        <v>8</v>
      </c>
      <c r="E55" s="3">
        <v>35</v>
      </c>
      <c r="F55" s="3" t="str">
        <f>HYPERLINK("https://www.boe.es/gazeta/dias/1818/04/28/pdfs/GMD-1818-51.pdf","Abrir PDF")</f>
        <v>Abrir PDF</v>
      </c>
    </row>
    <row r="56" spans="1:6" ht="31.05" customHeight="1">
      <c r="A56" s="6">
        <v>-29829</v>
      </c>
      <c r="B56" s="2" t="s">
        <v>44</v>
      </c>
      <c r="C56" s="2" t="s">
        <v>10720</v>
      </c>
      <c r="D56" s="3">
        <v>8</v>
      </c>
      <c r="E56" s="3">
        <v>50</v>
      </c>
      <c r="F56" s="3" t="str">
        <f>HYPERLINK("https://www.boe.es/gazeta/dias/1818/04/30/pdfs/GMD-1818-52.pdf","Abrir PDF")</f>
        <v>Abrir PDF</v>
      </c>
    </row>
    <row r="57" spans="1:6" ht="31.05" customHeight="1">
      <c r="A57" s="6">
        <v>-29827</v>
      </c>
      <c r="B57" s="2" t="s">
        <v>280</v>
      </c>
      <c r="C57" s="2" t="s">
        <v>10721</v>
      </c>
      <c r="D57" s="3">
        <v>8</v>
      </c>
      <c r="E57" s="3">
        <v>20</v>
      </c>
      <c r="F57" s="3" t="str">
        <f>HYPERLINK("https://www.boe.es/gazeta/dias/1818/05/02/pdfs/GMD-1818-53.pdf","Abrir PDF")</f>
        <v>Abrir PDF</v>
      </c>
    </row>
    <row r="58" spans="1:6" ht="31.05" customHeight="1">
      <c r="A58" s="6">
        <v>-29824</v>
      </c>
      <c r="B58" s="2" t="s">
        <v>101</v>
      </c>
      <c r="C58" s="2" t="s">
        <v>10722</v>
      </c>
      <c r="D58" s="3">
        <v>8</v>
      </c>
      <c r="E58" s="3">
        <v>36</v>
      </c>
      <c r="F58" s="3" t="str">
        <f>HYPERLINK("https://www.boe.es/gazeta/dias/1818/05/05/pdfs/GMD-1818-54.pdf","Abrir PDF")</f>
        <v>Abrir PDF</v>
      </c>
    </row>
    <row r="59" spans="1:6" ht="31.05" customHeight="1">
      <c r="A59" s="6">
        <v>-29822</v>
      </c>
      <c r="B59" s="2" t="s">
        <v>373</v>
      </c>
      <c r="C59" s="2" t="s">
        <v>10723</v>
      </c>
      <c r="D59" s="3">
        <v>8</v>
      </c>
      <c r="E59" s="3">
        <v>23</v>
      </c>
      <c r="F59" s="3" t="str">
        <f>HYPERLINK("https://www.boe.es/gazeta/dias/1818/05/07/pdfs/GMD-1818-55.pdf","Abrir PDF")</f>
        <v>Abrir PDF</v>
      </c>
    </row>
    <row r="60" spans="1:6" ht="31.05" customHeight="1">
      <c r="A60" s="6">
        <v>-29820</v>
      </c>
      <c r="B60" s="2" t="s">
        <v>2971</v>
      </c>
      <c r="C60" s="2" t="s">
        <v>10724</v>
      </c>
      <c r="D60" s="3">
        <v>8</v>
      </c>
      <c r="E60" s="3">
        <v>18</v>
      </c>
      <c r="F60" s="3" t="str">
        <f>HYPERLINK("https://www.boe.es/gazeta/dias/1818/05/09/pdfs/GMD-1818-56.pdf","Abrir PDF")</f>
        <v>Abrir PDF</v>
      </c>
    </row>
    <row r="61" spans="1:6" ht="31.05" customHeight="1">
      <c r="A61" s="6">
        <v>-29817</v>
      </c>
      <c r="B61" s="2" t="s">
        <v>284</v>
      </c>
      <c r="C61" s="2" t="s">
        <v>10725</v>
      </c>
      <c r="D61" s="3">
        <v>8</v>
      </c>
      <c r="E61" s="3">
        <v>19</v>
      </c>
      <c r="F61" s="3" t="str">
        <f>HYPERLINK("https://www.boe.es/gazeta/dias/1818/05/12/pdfs/GMD-1818-57.pdf","Abrir PDF")</f>
        <v>Abrir PDF</v>
      </c>
    </row>
    <row r="62" spans="1:6" ht="31.05" customHeight="1">
      <c r="A62" s="6">
        <v>-29815</v>
      </c>
      <c r="B62" s="2" t="s">
        <v>2169</v>
      </c>
      <c r="C62" s="2" t="s">
        <v>10726</v>
      </c>
      <c r="D62" s="3">
        <v>8</v>
      </c>
      <c r="E62" s="3">
        <v>17</v>
      </c>
      <c r="F62" s="3" t="str">
        <f>HYPERLINK("https://www.boe.es/gazeta/dias/1818/05/14/pdfs/GMD-1818-58.pdf","Abrir PDF")</f>
        <v>Abrir PDF</v>
      </c>
    </row>
    <row r="63" spans="1:6" ht="31.05" customHeight="1">
      <c r="A63" s="6">
        <v>-29813</v>
      </c>
      <c r="B63" s="2" t="s">
        <v>839</v>
      </c>
      <c r="C63" s="2" t="s">
        <v>10727</v>
      </c>
      <c r="D63" s="3">
        <v>8</v>
      </c>
      <c r="E63" s="3">
        <v>25</v>
      </c>
      <c r="F63" s="3" t="str">
        <f>HYPERLINK("https://www.boe.es/gazeta/dias/1818/05/16/pdfs/GMD-1818-59.pdf","Abrir PDF")</f>
        <v>Abrir PDF</v>
      </c>
    </row>
    <row r="64" spans="1:6" ht="31.05" customHeight="1">
      <c r="A64" s="6">
        <v>-29810</v>
      </c>
      <c r="B64" s="2" t="s">
        <v>222</v>
      </c>
      <c r="C64" s="2" t="s">
        <v>10728</v>
      </c>
      <c r="D64" s="3">
        <v>8</v>
      </c>
      <c r="E64" s="3">
        <v>23</v>
      </c>
      <c r="F64" s="3" t="str">
        <f>HYPERLINK("https://www.boe.es/gazeta/dias/1818/05/19/pdfs/GMD-1818-60.pdf","Abrir PDF")</f>
        <v>Abrir PDF</v>
      </c>
    </row>
    <row r="65" spans="1:6" ht="31.05" customHeight="1">
      <c r="A65" s="6">
        <v>-29808</v>
      </c>
      <c r="B65" s="2" t="s">
        <v>80</v>
      </c>
      <c r="C65" s="2" t="s">
        <v>10729</v>
      </c>
      <c r="D65" s="3">
        <v>8</v>
      </c>
      <c r="E65" s="3">
        <v>21</v>
      </c>
      <c r="F65" s="3" t="str">
        <f>HYPERLINK("https://www.boe.es/gazeta/dias/1818/05/21/pdfs/GMD-1818-61.pdf","Abrir PDF")</f>
        <v>Abrir PDF</v>
      </c>
    </row>
    <row r="66" spans="1:6" ht="31.05" customHeight="1">
      <c r="A66" s="6">
        <v>-29806</v>
      </c>
      <c r="B66" s="2" t="s">
        <v>84</v>
      </c>
      <c r="C66" s="2" t="s">
        <v>10730</v>
      </c>
      <c r="D66" s="3">
        <v>8</v>
      </c>
      <c r="E66" s="3">
        <v>39</v>
      </c>
      <c r="F66" s="3" t="str">
        <f>HYPERLINK("https://www.boe.es/gazeta/dias/1818/05/23/pdfs/GMD-1818-62.pdf","Abrir PDF")</f>
        <v>Abrir PDF</v>
      </c>
    </row>
    <row r="67" spans="1:6" ht="31.05" customHeight="1">
      <c r="A67" s="6">
        <v>-29803</v>
      </c>
      <c r="B67" s="2" t="s">
        <v>1393</v>
      </c>
      <c r="C67" s="2" t="s">
        <v>10731</v>
      </c>
      <c r="D67" s="3">
        <v>8</v>
      </c>
      <c r="E67" s="3">
        <v>26</v>
      </c>
      <c r="F67" s="3" t="str">
        <f>HYPERLINK("https://www.boe.es/gazeta/dias/1818/05/26/pdfs/GMD-1818-63.pdf","Abrir PDF")</f>
        <v>Abrir PDF</v>
      </c>
    </row>
    <row r="68" spans="1:6" ht="31.05" customHeight="1">
      <c r="A68" s="6">
        <v>-29801</v>
      </c>
      <c r="B68" s="2" t="s">
        <v>288</v>
      </c>
      <c r="C68" s="2" t="s">
        <v>10732</v>
      </c>
      <c r="D68" s="3">
        <v>8</v>
      </c>
      <c r="E68" s="3">
        <v>35</v>
      </c>
      <c r="F68" s="3" t="str">
        <f>HYPERLINK("https://www.boe.es/gazeta/dias/1818/05/28/pdfs/GMD-1818-64.pdf","Abrir PDF")</f>
        <v>Abrir PDF</v>
      </c>
    </row>
    <row r="69" spans="1:6" ht="31.05" customHeight="1">
      <c r="A69" s="6">
        <v>-29799</v>
      </c>
      <c r="B69" s="2" t="s">
        <v>135</v>
      </c>
      <c r="C69" s="2" t="s">
        <v>10733</v>
      </c>
      <c r="D69" s="3">
        <v>8</v>
      </c>
      <c r="E69" s="3">
        <v>32</v>
      </c>
      <c r="F69" s="3" t="str">
        <f>HYPERLINK("https://www.boe.es/gazeta/dias/1818/05/30/pdfs/GMD-1818-65.pdf","Abrir PDF")</f>
        <v>Abrir PDF</v>
      </c>
    </row>
    <row r="70" spans="1:6" ht="31.05" customHeight="1">
      <c r="A70" s="6">
        <v>-29796</v>
      </c>
      <c r="B70" s="2" t="s">
        <v>1359</v>
      </c>
      <c r="C70" s="2" t="s">
        <v>10734</v>
      </c>
      <c r="D70" s="3">
        <v>8</v>
      </c>
      <c r="E70" s="3">
        <v>17</v>
      </c>
      <c r="F70" s="3" t="str">
        <f>HYPERLINK("https://www.boe.es/gazeta/dias/1818/06/02/pdfs/GMD-1818-66.pdf","Abrir PDF")</f>
        <v>Abrir PDF</v>
      </c>
    </row>
    <row r="71" spans="1:6" ht="31.05" customHeight="1">
      <c r="A71" s="6">
        <v>-29794</v>
      </c>
      <c r="B71" s="2" t="s">
        <v>127</v>
      </c>
      <c r="C71" s="2" t="s">
        <v>10735</v>
      </c>
      <c r="D71" s="3">
        <v>8</v>
      </c>
      <c r="E71" s="3">
        <v>21</v>
      </c>
      <c r="F71" s="3" t="str">
        <f>HYPERLINK("https://www.boe.es/gazeta/dias/1818/06/04/pdfs/GMD-1818-67.pdf","Abrir PDF")</f>
        <v>Abrir PDF</v>
      </c>
    </row>
    <row r="72" spans="1:6" ht="31.05" customHeight="1">
      <c r="A72" s="6">
        <v>-29792</v>
      </c>
      <c r="B72" s="2" t="s">
        <v>948</v>
      </c>
      <c r="C72" s="2" t="s">
        <v>10736</v>
      </c>
      <c r="D72" s="3">
        <v>8</v>
      </c>
      <c r="E72" s="3">
        <v>20</v>
      </c>
      <c r="F72" s="3" t="str">
        <f>HYPERLINK("https://www.boe.es/gazeta/dias/1818/06/06/pdfs/GMD-1818-68.pdf","Abrir PDF")</f>
        <v>Abrir PDF</v>
      </c>
    </row>
    <row r="73" spans="1:6" ht="31.05" customHeight="1">
      <c r="A73" s="6">
        <v>-29789</v>
      </c>
      <c r="B73" s="2" t="s">
        <v>937</v>
      </c>
      <c r="C73" s="2" t="s">
        <v>10737</v>
      </c>
      <c r="D73" s="3">
        <v>8</v>
      </c>
      <c r="E73" s="3">
        <v>15</v>
      </c>
      <c r="F73" s="3" t="str">
        <f>HYPERLINK("https://www.boe.es/gazeta/dias/1818/06/09/pdfs/GMD-1818-69.pdf","Abrir PDF")</f>
        <v>Abrir PDF</v>
      </c>
    </row>
    <row r="74" spans="1:6" ht="31.05" customHeight="1">
      <c r="A74" s="6">
        <v>-29787</v>
      </c>
      <c r="B74" s="2" t="s">
        <v>343</v>
      </c>
      <c r="C74" s="2" t="s">
        <v>10738</v>
      </c>
      <c r="D74" s="3">
        <v>8</v>
      </c>
      <c r="E74" s="3">
        <v>12</v>
      </c>
      <c r="F74" s="3" t="str">
        <f>HYPERLINK("https://www.boe.es/gazeta/dias/1818/06/11/pdfs/GMD-1818-70.pdf","Abrir PDF")</f>
        <v>Abrir PDF</v>
      </c>
    </row>
    <row r="75" spans="1:6" ht="31.05" customHeight="1">
      <c r="A75" s="6">
        <v>-29785</v>
      </c>
      <c r="B75" s="2" t="s">
        <v>1031</v>
      </c>
      <c r="C75" s="2" t="s">
        <v>10739</v>
      </c>
      <c r="D75" s="3">
        <v>8</v>
      </c>
      <c r="E75" s="3">
        <v>19</v>
      </c>
      <c r="F75" s="3" t="str">
        <f>HYPERLINK("https://www.boe.es/gazeta/dias/1818/06/13/pdfs/GMD-1818-71.pdf","Abrir PDF")</f>
        <v>Abrir PDF</v>
      </c>
    </row>
    <row r="76" spans="1:6" ht="31.05" customHeight="1">
      <c r="A76" s="6">
        <v>-29782</v>
      </c>
      <c r="B76" s="2" t="s">
        <v>226</v>
      </c>
      <c r="C76" s="2" t="s">
        <v>10740</v>
      </c>
      <c r="D76" s="3">
        <v>8</v>
      </c>
      <c r="E76" s="3">
        <v>27</v>
      </c>
      <c r="F76" s="3" t="str">
        <f>HYPERLINK("https://www.boe.es/gazeta/dias/1818/06/16/pdfs/GMD-1818-72.pdf","Abrir PDF")</f>
        <v>Abrir PDF</v>
      </c>
    </row>
    <row r="77" spans="1:6" ht="31.05" customHeight="1">
      <c r="A77" s="6">
        <v>-29780</v>
      </c>
      <c r="B77" s="2" t="s">
        <v>461</v>
      </c>
      <c r="C77" s="2" t="s">
        <v>10741</v>
      </c>
      <c r="D77" s="3">
        <v>8</v>
      </c>
      <c r="E77" s="3">
        <v>9</v>
      </c>
      <c r="F77" s="3" t="str">
        <f>HYPERLINK("https://www.boe.es/gazeta/dias/1818/06/18/pdfs/GMD-1818-73.pdf","Abrir PDF")</f>
        <v>Abrir PDF</v>
      </c>
    </row>
    <row r="78" spans="1:6" ht="31.05" customHeight="1">
      <c r="A78" s="6">
        <v>-29778</v>
      </c>
      <c r="B78" s="2" t="s">
        <v>239</v>
      </c>
      <c r="C78" s="2" t="s">
        <v>10742</v>
      </c>
      <c r="D78" s="3">
        <v>8</v>
      </c>
      <c r="E78" s="3">
        <v>12</v>
      </c>
      <c r="F78" s="3" t="str">
        <f>HYPERLINK("https://www.boe.es/gazeta/dias/1818/06/20/pdfs/GMD-1818-74.pdf","Abrir PDF")</f>
        <v>Abrir PDF</v>
      </c>
    </row>
    <row r="79" spans="1:6" ht="31.05" customHeight="1">
      <c r="A79" s="6">
        <v>-29775</v>
      </c>
      <c r="B79" s="2" t="s">
        <v>1245</v>
      </c>
      <c r="C79" s="2" t="s">
        <v>10743</v>
      </c>
      <c r="D79" s="3">
        <v>8</v>
      </c>
      <c r="E79" s="3">
        <v>13</v>
      </c>
      <c r="F79" s="3" t="str">
        <f>HYPERLINK("https://www.boe.es/gazeta/dias/1818/06/23/pdfs/GMD-1818-75.pdf","Abrir PDF")</f>
        <v>Abrir PDF</v>
      </c>
    </row>
    <row r="80" spans="1:6" ht="31.05" customHeight="1">
      <c r="A80" s="6">
        <v>-29773</v>
      </c>
      <c r="B80" s="2" t="s">
        <v>424</v>
      </c>
      <c r="C80" s="2" t="s">
        <v>10744</v>
      </c>
      <c r="D80" s="3">
        <v>8</v>
      </c>
      <c r="E80" s="3">
        <v>18</v>
      </c>
      <c r="F80" s="3" t="str">
        <f>HYPERLINK("https://www.boe.es/gazeta/dias/1818/06/25/pdfs/GMD-1818-76.pdf","Abrir PDF")</f>
        <v>Abrir PDF</v>
      </c>
    </row>
    <row r="81" spans="1:6" ht="31.05" customHeight="1">
      <c r="A81" s="6">
        <v>-29771</v>
      </c>
      <c r="B81" s="2" t="s">
        <v>1260</v>
      </c>
      <c r="C81" s="2" t="s">
        <v>10745</v>
      </c>
      <c r="D81" s="3">
        <v>8</v>
      </c>
      <c r="E81" s="3">
        <v>39</v>
      </c>
      <c r="F81" s="3" t="str">
        <f>HYPERLINK("https://www.boe.es/gazeta/dias/1818/06/27/pdfs/GMD-1818-77.pdf","Abrir PDF")</f>
        <v>Abrir PDF</v>
      </c>
    </row>
    <row r="82" spans="1:6" ht="31.05" customHeight="1">
      <c r="A82" s="6">
        <v>-29768</v>
      </c>
      <c r="B82" s="2" t="s">
        <v>253</v>
      </c>
      <c r="C82" s="2" t="s">
        <v>10746</v>
      </c>
      <c r="D82" s="3">
        <v>8</v>
      </c>
      <c r="E82" s="3">
        <v>9</v>
      </c>
      <c r="F82" s="3" t="str">
        <f>HYPERLINK("https://www.boe.es/gazeta/dias/1818/06/30/pdfs/GMD-1818-78.pdf","Abrir PDF")</f>
        <v>Abrir PDF</v>
      </c>
    </row>
    <row r="83" spans="1:6" ht="31.05" customHeight="1">
      <c r="A83" s="6">
        <v>-29766</v>
      </c>
      <c r="B83" s="2" t="s">
        <v>276</v>
      </c>
      <c r="C83" s="2" t="s">
        <v>10747</v>
      </c>
      <c r="D83" s="3">
        <v>8</v>
      </c>
      <c r="E83" s="3">
        <v>17</v>
      </c>
      <c r="F83" s="3" t="str">
        <f>HYPERLINK("https://www.boe.es/gazeta/dias/1818/07/02/pdfs/GMD-1818-79.pdf","Abrir PDF")</f>
        <v>Abrir PDF</v>
      </c>
    </row>
    <row r="84" spans="1:6" ht="31.05" customHeight="1">
      <c r="A84" s="6">
        <v>-29764</v>
      </c>
      <c r="B84" s="2" t="s">
        <v>464</v>
      </c>
      <c r="C84" s="2" t="s">
        <v>10748</v>
      </c>
      <c r="D84" s="3">
        <v>8</v>
      </c>
      <c r="E84" s="3">
        <v>38</v>
      </c>
      <c r="F84" s="3" t="str">
        <f>HYPERLINK("https://www.boe.es/gazeta/dias/1818/07/04/pdfs/GMD-1818-80.pdf","Abrir PDF")</f>
        <v>Abrir PDF</v>
      </c>
    </row>
    <row r="85" spans="1:6" ht="31.05" customHeight="1">
      <c r="A85" s="6">
        <v>-29761</v>
      </c>
      <c r="B85" s="2" t="s">
        <v>168</v>
      </c>
      <c r="C85" s="2" t="s">
        <v>10749</v>
      </c>
      <c r="D85" s="3">
        <v>8</v>
      </c>
      <c r="E85" s="3">
        <v>37</v>
      </c>
      <c r="F85" s="3" t="str">
        <f>HYPERLINK("https://www.boe.es/gazeta/dias/1818/07/07/pdfs/GMD-1818-81.pdf","Abrir PDF")</f>
        <v>Abrir PDF</v>
      </c>
    </row>
    <row r="86" spans="1:6" ht="31.05" customHeight="1">
      <c r="A86" s="6">
        <v>-29759</v>
      </c>
      <c r="B86" s="2" t="s">
        <v>405</v>
      </c>
      <c r="C86" s="2" t="s">
        <v>10750</v>
      </c>
      <c r="D86" s="3">
        <v>8</v>
      </c>
      <c r="E86" s="3">
        <v>9</v>
      </c>
      <c r="F86" s="3" t="str">
        <f>HYPERLINK("https://www.boe.es/gazeta/dias/1818/07/09/pdfs/GMD-1818-82.pdf","Abrir PDF")</f>
        <v>Abrir PDF</v>
      </c>
    </row>
    <row r="87" spans="1:6" ht="31.05" customHeight="1">
      <c r="A87" s="6">
        <v>-29757</v>
      </c>
      <c r="B87" s="2" t="s">
        <v>115</v>
      </c>
      <c r="C87" s="2" t="s">
        <v>10751</v>
      </c>
      <c r="D87" s="3">
        <v>12</v>
      </c>
      <c r="E87" s="3">
        <v>30</v>
      </c>
      <c r="F87" s="3" t="str">
        <f>HYPERLINK("https://www.boe.es/gazeta/dias/1818/07/11/pdfs/GMD-1818-83.pdf","Abrir PDF")</f>
        <v>Abrir PDF</v>
      </c>
    </row>
    <row r="88" spans="1:6" ht="31.05" customHeight="1">
      <c r="A88" s="6">
        <v>-29754</v>
      </c>
      <c r="B88" s="2" t="s">
        <v>466</v>
      </c>
      <c r="C88" s="2" t="s">
        <v>10752</v>
      </c>
      <c r="D88" s="3">
        <v>8</v>
      </c>
      <c r="E88" s="3">
        <v>31</v>
      </c>
      <c r="F88" s="3" t="str">
        <f>HYPERLINK("https://www.boe.es/gazeta/dias/1818/07/14/pdfs/GMD-1818-84.pdf","Abrir PDF")</f>
        <v>Abrir PDF</v>
      </c>
    </row>
    <row r="89" spans="1:6" ht="31.05" customHeight="1">
      <c r="A89" s="6">
        <v>-29752</v>
      </c>
      <c r="B89" s="2" t="s">
        <v>165</v>
      </c>
      <c r="C89" s="2" t="s">
        <v>10753</v>
      </c>
      <c r="D89" s="3">
        <v>8</v>
      </c>
      <c r="E89" s="3">
        <v>41</v>
      </c>
      <c r="F89" s="3" t="str">
        <f>HYPERLINK("https://www.boe.es/gazeta/dias/1818/07/16/pdfs/GMD-1818-85.pdf","Abrir PDF")</f>
        <v>Abrir PDF</v>
      </c>
    </row>
    <row r="90" spans="1:6" ht="31.05" customHeight="1">
      <c r="A90" s="6">
        <v>-29750</v>
      </c>
      <c r="B90" s="2" t="s">
        <v>384</v>
      </c>
      <c r="C90" s="2" t="s">
        <v>10754</v>
      </c>
      <c r="D90" s="3">
        <v>12</v>
      </c>
      <c r="E90" s="3">
        <v>60</v>
      </c>
      <c r="F90" s="3" t="str">
        <f>HYPERLINK("https://www.boe.es/gazeta/dias/1818/07/18/pdfs/GMD-1818-86.pdf","Abrir PDF")</f>
        <v>Abrir PDF</v>
      </c>
    </row>
    <row r="91" spans="1:6" ht="31.05" customHeight="1">
      <c r="A91" s="6">
        <v>-29747</v>
      </c>
      <c r="B91" s="2" t="s">
        <v>536</v>
      </c>
      <c r="C91" s="2" t="s">
        <v>10755</v>
      </c>
      <c r="D91" s="3">
        <v>8</v>
      </c>
      <c r="E91" s="3">
        <v>16</v>
      </c>
      <c r="F91" s="3" t="str">
        <f>HYPERLINK("https://www.boe.es/gazeta/dias/1818/07/21/pdfs/GMD-1818-87.pdf","Abrir PDF")</f>
        <v>Abrir PDF</v>
      </c>
    </row>
    <row r="92" spans="1:6" ht="31.05" customHeight="1">
      <c r="A92" s="6">
        <v>-29745</v>
      </c>
      <c r="B92" s="2" t="s">
        <v>409</v>
      </c>
      <c r="C92" s="2" t="s">
        <v>10756</v>
      </c>
      <c r="D92" s="3">
        <v>8</v>
      </c>
      <c r="E92" s="3">
        <v>23</v>
      </c>
      <c r="F92" s="3" t="str">
        <f>HYPERLINK("https://www.boe.es/gazeta/dias/1818/07/23/pdfs/GMD-1818-88.pdf","Abrir PDF")</f>
        <v>Abrir PDF</v>
      </c>
    </row>
    <row r="93" spans="1:6" ht="31.05" customHeight="1">
      <c r="A93" s="6">
        <v>-29743</v>
      </c>
      <c r="B93" s="2" t="s">
        <v>734</v>
      </c>
      <c r="C93" s="2" t="s">
        <v>10757</v>
      </c>
      <c r="D93" s="3">
        <v>8</v>
      </c>
      <c r="E93" s="3">
        <v>17</v>
      </c>
      <c r="F93" s="3" t="str">
        <f>HYPERLINK("https://www.boe.es/gazeta/dias/1818/07/25/pdfs/GMD-1818-89.pdf","Abrir PDF")</f>
        <v>Abrir PDF</v>
      </c>
    </row>
    <row r="94" spans="1:6" ht="31.05" customHeight="1">
      <c r="A94" s="6">
        <v>-29740</v>
      </c>
      <c r="B94" s="2" t="s">
        <v>152</v>
      </c>
      <c r="C94" s="2" t="s">
        <v>10758</v>
      </c>
      <c r="D94" s="3">
        <v>8</v>
      </c>
      <c r="E94" s="3">
        <v>43</v>
      </c>
      <c r="F94" s="3" t="str">
        <f>HYPERLINK("https://www.boe.es/gazeta/dias/1818/07/28/pdfs/GMD-1818-90.pdf","Abrir PDF")</f>
        <v>Abrir PDF</v>
      </c>
    </row>
    <row r="95" spans="1:6" ht="31.05" customHeight="1">
      <c r="A95" s="6">
        <v>-29738</v>
      </c>
      <c r="B95" s="2" t="s">
        <v>263</v>
      </c>
      <c r="C95" s="2" t="s">
        <v>10759</v>
      </c>
      <c r="D95" s="3">
        <v>16</v>
      </c>
      <c r="E95" s="3">
        <v>40</v>
      </c>
      <c r="F95" s="3" t="str">
        <f>HYPERLINK("https://www.boe.es/gazeta/dias/1818/07/30/pdfs/GMD-1818-91.pdf","Abrir PDF")</f>
        <v>Abrir PDF</v>
      </c>
    </row>
    <row r="96" spans="1:6" ht="31.05" customHeight="1">
      <c r="A96" s="6">
        <v>-29736</v>
      </c>
      <c r="B96" s="2" t="s">
        <v>581</v>
      </c>
      <c r="C96" s="2" t="s">
        <v>10760</v>
      </c>
      <c r="D96" s="3">
        <v>8</v>
      </c>
      <c r="E96" s="3">
        <v>35</v>
      </c>
      <c r="F96" s="3" t="str">
        <f>HYPERLINK("https://www.boe.es/gazeta/dias/1818/08/01/pdfs/GMD-1818-92.pdf","Abrir PDF")</f>
        <v>Abrir PDF</v>
      </c>
    </row>
    <row r="97" spans="1:6" ht="31.05" customHeight="1">
      <c r="A97" s="6">
        <v>-29733</v>
      </c>
      <c r="B97" s="2" t="s">
        <v>482</v>
      </c>
      <c r="C97" s="2" t="s">
        <v>10761</v>
      </c>
      <c r="D97" s="3">
        <v>12</v>
      </c>
      <c r="E97" s="3">
        <v>29</v>
      </c>
      <c r="F97" s="3" t="str">
        <f>HYPERLINK("https://www.boe.es/gazeta/dias/1818/08/04/pdfs/GMD-1818-93.pdf","Abrir PDF")</f>
        <v>Abrir PDF</v>
      </c>
    </row>
    <row r="98" spans="1:6" ht="31.05" customHeight="1">
      <c r="A98" s="6">
        <v>-29731</v>
      </c>
      <c r="B98" s="2" t="s">
        <v>299</v>
      </c>
      <c r="C98" s="2" t="s">
        <v>10762</v>
      </c>
      <c r="D98" s="3">
        <v>8</v>
      </c>
      <c r="E98" s="3">
        <v>35</v>
      </c>
      <c r="F98" s="3" t="str">
        <f>HYPERLINK("https://www.boe.es/gazeta/dias/1818/08/06/pdfs/GMD-1818-94.pdf","Abrir PDF")</f>
        <v>Abrir PDF</v>
      </c>
    </row>
    <row r="99" spans="1:6" ht="31.05" customHeight="1">
      <c r="A99" s="6">
        <v>-29729</v>
      </c>
      <c r="B99" s="2" t="s">
        <v>488</v>
      </c>
      <c r="C99" s="2" t="s">
        <v>10763</v>
      </c>
      <c r="D99" s="3">
        <v>8</v>
      </c>
      <c r="E99" s="3">
        <v>21</v>
      </c>
      <c r="F99" s="3" t="str">
        <f>HYPERLINK("https://www.boe.es/gazeta/dias/1818/08/08/pdfs/GMD-1818-95.pdf","Abrir PDF")</f>
        <v>Abrir PDF</v>
      </c>
    </row>
    <row r="100" spans="1:6" ht="31.05" customHeight="1">
      <c r="A100" s="6">
        <v>-29726</v>
      </c>
      <c r="B100" s="2" t="s">
        <v>70</v>
      </c>
      <c r="C100" s="2" t="s">
        <v>10764</v>
      </c>
      <c r="D100" s="3">
        <v>16</v>
      </c>
      <c r="E100" s="3">
        <v>32</v>
      </c>
      <c r="F100" s="3" t="str">
        <f>HYPERLINK("https://www.boe.es/gazeta/dias/1818/08/11/pdfs/GMD-1818-96.pdf","Abrir PDF")</f>
        <v>Abrir PDF</v>
      </c>
    </row>
    <row r="101" spans="1:6" ht="31.05" customHeight="1">
      <c r="A101" s="6">
        <v>-29724</v>
      </c>
      <c r="B101" s="2" t="s">
        <v>370</v>
      </c>
      <c r="C101" s="2" t="s">
        <v>10765</v>
      </c>
      <c r="D101" s="3">
        <v>8</v>
      </c>
      <c r="E101" s="3">
        <v>22</v>
      </c>
      <c r="F101" s="3" t="str">
        <f>HYPERLINK("https://www.boe.es/gazeta/dias/1818/08/13/pdfs/GMD-1818-97.pdf","Abrir PDF")</f>
        <v>Abrir PDF</v>
      </c>
    </row>
    <row r="102" spans="1:6" ht="31.05" customHeight="1">
      <c r="A102" s="6">
        <v>-29722</v>
      </c>
      <c r="B102" s="2" t="s">
        <v>1127</v>
      </c>
      <c r="C102" s="2" t="s">
        <v>10766</v>
      </c>
      <c r="D102" s="3">
        <v>8</v>
      </c>
      <c r="E102" s="3">
        <v>30</v>
      </c>
      <c r="F102" s="3" t="str">
        <f>HYPERLINK("https://www.boe.es/gazeta/dias/1818/08/15/pdfs/GMD-1818-98.pdf","Abrir PDF")</f>
        <v>Abrir PDF</v>
      </c>
    </row>
    <row r="103" spans="1:6" ht="31.05" customHeight="1">
      <c r="A103" s="6">
        <v>-29719</v>
      </c>
      <c r="B103" s="2" t="s">
        <v>243</v>
      </c>
      <c r="C103" s="2" t="s">
        <v>10767</v>
      </c>
      <c r="D103" s="3">
        <v>12</v>
      </c>
      <c r="E103" s="3">
        <v>44</v>
      </c>
      <c r="F103" s="3" t="str">
        <f>HYPERLINK("https://www.boe.es/gazeta/dias/1818/08/18/pdfs/GMD-1818-99.pdf","Abrir PDF")</f>
        <v>Abrir PDF</v>
      </c>
    </row>
    <row r="104" spans="1:6" ht="31.05" customHeight="1">
      <c r="A104" s="6">
        <v>-29717</v>
      </c>
      <c r="B104" s="2" t="s">
        <v>1644</v>
      </c>
      <c r="C104" s="2" t="s">
        <v>10768</v>
      </c>
      <c r="D104" s="3">
        <v>8</v>
      </c>
      <c r="E104" s="3">
        <v>21</v>
      </c>
      <c r="F104" s="3" t="str">
        <f>HYPERLINK("https://www.boe.es/gazeta/dias/1818/08/20/pdfs/GMD-1818-100.pdf","Abrir PDF")</f>
        <v>Abrir PDF</v>
      </c>
    </row>
    <row r="105" spans="1:6" ht="31.05" customHeight="1">
      <c r="A105" s="6">
        <v>-29715</v>
      </c>
      <c r="B105" s="2" t="s">
        <v>208</v>
      </c>
      <c r="C105" s="2" t="s">
        <v>10769</v>
      </c>
      <c r="D105" s="3">
        <v>8</v>
      </c>
      <c r="E105" s="3">
        <v>20</v>
      </c>
      <c r="F105" s="3" t="str">
        <f>HYPERLINK("https://www.boe.es/gazeta/dias/1818/08/22/pdfs/GMD-1818-101.pdf","Abrir PDF")</f>
        <v>Abrir PDF</v>
      </c>
    </row>
    <row r="106" spans="1:6" ht="31.05" customHeight="1">
      <c r="A106" s="6">
        <v>-29712</v>
      </c>
      <c r="B106" s="2" t="s">
        <v>1309</v>
      </c>
      <c r="C106" s="2" t="s">
        <v>10770</v>
      </c>
      <c r="D106" s="3">
        <v>8</v>
      </c>
      <c r="E106" s="3">
        <v>12</v>
      </c>
      <c r="F106" s="3" t="str">
        <f>HYPERLINK("https://www.boe.es/gazeta/dias/1818/08/25/pdfs/GMD-1818-102.pdf","Abrir PDF")</f>
        <v>Abrir PDF</v>
      </c>
    </row>
    <row r="107" spans="1:6" ht="31.05" customHeight="1">
      <c r="A107" s="6">
        <v>-29710</v>
      </c>
      <c r="B107" s="2" t="s">
        <v>1026</v>
      </c>
      <c r="C107" s="2" t="s">
        <v>10771</v>
      </c>
      <c r="D107" s="3">
        <v>8</v>
      </c>
      <c r="E107" s="3">
        <v>23</v>
      </c>
      <c r="F107" s="3" t="str">
        <f>HYPERLINK("https://www.boe.es/gazeta/dias/1818/08/27/pdfs/GMD-1818-103.pdf","Abrir PDF")</f>
        <v>Abrir PDF</v>
      </c>
    </row>
    <row r="108" spans="1:6" ht="31.05" customHeight="1">
      <c r="A108" s="6">
        <v>-29708</v>
      </c>
      <c r="B108" s="2" t="s">
        <v>413</v>
      </c>
      <c r="C108" s="2" t="s">
        <v>10772</v>
      </c>
      <c r="D108" s="3">
        <v>8</v>
      </c>
      <c r="E108" s="3">
        <v>45</v>
      </c>
      <c r="F108" s="3" t="str">
        <f>HYPERLINK("https://www.boe.es/gazeta/dias/1818/08/29/pdfs/GMD-1818-104.pdf","Abrir PDF")</f>
        <v>Abrir PDF</v>
      </c>
    </row>
    <row r="109" spans="1:6" ht="31.05" customHeight="1">
      <c r="A109" s="6">
        <v>-29705</v>
      </c>
      <c r="B109" s="2" t="s">
        <v>680</v>
      </c>
      <c r="C109" s="2" t="s">
        <v>10773</v>
      </c>
      <c r="D109" s="3">
        <v>8</v>
      </c>
      <c r="E109" s="3">
        <v>14</v>
      </c>
      <c r="F109" s="3" t="str">
        <f>HYPERLINK("https://www.boe.es/gazeta/dias/1818/09/01/pdfs/GMD-1818-105.pdf","Abrir PDF")</f>
        <v>Abrir PDF</v>
      </c>
    </row>
    <row r="110" spans="1:6" ht="31.05" customHeight="1">
      <c r="A110" s="6">
        <v>-29703</v>
      </c>
      <c r="B110" s="2" t="s">
        <v>294</v>
      </c>
      <c r="C110" s="2" t="s">
        <v>10774</v>
      </c>
      <c r="D110" s="3">
        <v>8</v>
      </c>
      <c r="E110" s="3">
        <v>48</v>
      </c>
      <c r="F110" s="3" t="str">
        <f>HYPERLINK("https://www.boe.es/gazeta/dias/1818/09/03/pdfs/GMD-1818-106.pdf","Abrir PDF")</f>
        <v>Abrir PDF</v>
      </c>
    </row>
    <row r="111" spans="1:6" ht="31.05" customHeight="1">
      <c r="A111" s="6">
        <v>-29701</v>
      </c>
      <c r="B111" s="2" t="s">
        <v>596</v>
      </c>
      <c r="C111" s="2" t="s">
        <v>10775</v>
      </c>
      <c r="D111" s="3">
        <v>8</v>
      </c>
      <c r="E111" s="3">
        <v>24</v>
      </c>
      <c r="F111" s="3" t="str">
        <f>HYPERLINK("https://www.boe.es/gazeta/dias/1818/09/05/pdfs/GMD-1818-107.pdf","Abrir PDF")</f>
        <v>Abrir PDF</v>
      </c>
    </row>
    <row r="112" spans="1:6" ht="31.05" customHeight="1">
      <c r="A112" s="6">
        <v>-29698</v>
      </c>
      <c r="B112" s="2" t="s">
        <v>148</v>
      </c>
      <c r="C112" s="2" t="s">
        <v>10776</v>
      </c>
      <c r="D112" s="3">
        <v>8</v>
      </c>
      <c r="E112" s="3">
        <v>123</v>
      </c>
      <c r="F112" s="3" t="str">
        <f>HYPERLINK("https://www.boe.es/gazeta/dias/1818/09/08/pdfs/GMD-1818-108.pdf","Abrir PDF")</f>
        <v>Abrir PDF</v>
      </c>
    </row>
    <row r="113" spans="1:6" ht="31.05" customHeight="1">
      <c r="A113" s="6">
        <v>-29696</v>
      </c>
      <c r="B113" s="2" t="s">
        <v>1716</v>
      </c>
      <c r="C113" s="2" t="s">
        <v>10777</v>
      </c>
      <c r="D113" s="3">
        <v>8</v>
      </c>
      <c r="E113" s="3">
        <v>22</v>
      </c>
      <c r="F113" s="3" t="str">
        <f>HYPERLINK("https://www.boe.es/gazeta/dias/1818/09/10/pdfs/GMD-1818-109.pdf","Abrir PDF")</f>
        <v>Abrir PDF</v>
      </c>
    </row>
    <row r="114" spans="1:6" ht="31.05" customHeight="1">
      <c r="A114" s="6">
        <v>-29694</v>
      </c>
      <c r="B114" s="2" t="s">
        <v>528</v>
      </c>
      <c r="C114" s="2" t="s">
        <v>10778</v>
      </c>
      <c r="D114" s="3">
        <v>8</v>
      </c>
      <c r="E114" s="3">
        <v>45</v>
      </c>
      <c r="F114" s="3" t="str">
        <f>HYPERLINK("https://www.boe.es/gazeta/dias/1818/09/12/pdfs/GMD-1818-110.pdf","Abrir PDF")</f>
        <v>Abrir PDF</v>
      </c>
    </row>
    <row r="115" spans="1:6" ht="31.05" customHeight="1">
      <c r="A115" s="6">
        <v>-29691</v>
      </c>
      <c r="B115" s="2" t="s">
        <v>144</v>
      </c>
      <c r="C115" s="2" t="s">
        <v>10779</v>
      </c>
      <c r="D115" s="3">
        <v>8</v>
      </c>
      <c r="E115" s="3">
        <v>41</v>
      </c>
      <c r="F115" s="3" t="str">
        <f>HYPERLINK("https://www.boe.es/gazeta/dias/1818/09/15/pdfs/GMD-1818-111.pdf","Abrir PDF")</f>
        <v>Abrir PDF</v>
      </c>
    </row>
    <row r="116" spans="1:6" ht="31.05" customHeight="1">
      <c r="A116" s="6">
        <v>-29689</v>
      </c>
      <c r="B116" s="2" t="s">
        <v>303</v>
      </c>
      <c r="C116" s="2" t="s">
        <v>10780</v>
      </c>
      <c r="D116" s="3">
        <v>8</v>
      </c>
      <c r="E116" s="3">
        <v>19</v>
      </c>
      <c r="F116" s="3" t="str">
        <f>HYPERLINK("https://www.boe.es/gazeta/dias/1818/09/17/pdfs/GMD-1818-112.pdf","Abrir PDF")</f>
        <v>Abrir PDF</v>
      </c>
    </row>
    <row r="117" spans="1:6" ht="31.05" customHeight="1">
      <c r="A117" s="6">
        <v>-29687</v>
      </c>
      <c r="B117" s="2" t="s">
        <v>686</v>
      </c>
      <c r="C117" s="2" t="s">
        <v>10781</v>
      </c>
      <c r="D117" s="3">
        <v>8</v>
      </c>
      <c r="E117" s="3">
        <v>29</v>
      </c>
      <c r="F117" s="3" t="str">
        <f>HYPERLINK("https://www.boe.es/gazeta/dias/1818/09/19/pdfs/GMD-1818-113.pdf","Abrir PDF")</f>
        <v>Abrir PDF</v>
      </c>
    </row>
    <row r="118" spans="1:6" ht="31.05" customHeight="1">
      <c r="A118" s="6">
        <v>-29684</v>
      </c>
      <c r="B118" s="2" t="s">
        <v>311</v>
      </c>
      <c r="C118" s="2" t="s">
        <v>10782</v>
      </c>
      <c r="D118" s="3">
        <v>8</v>
      </c>
      <c r="E118" s="3">
        <v>35</v>
      </c>
      <c r="F118" s="3" t="str">
        <f>HYPERLINK("https://www.boe.es/gazeta/dias/1818/09/22/pdfs/GMD-1818-114.pdf","Abrir PDF")</f>
        <v>Abrir PDF</v>
      </c>
    </row>
    <row r="119" spans="1:6" ht="31.05" customHeight="1">
      <c r="A119" s="6">
        <v>-29682</v>
      </c>
      <c r="B119" s="2" t="s">
        <v>170</v>
      </c>
      <c r="C119" s="2" t="s">
        <v>10783</v>
      </c>
      <c r="D119" s="3">
        <v>8</v>
      </c>
      <c r="E119" s="3">
        <v>31</v>
      </c>
      <c r="F119" s="3" t="str">
        <f>HYPERLINK("https://www.boe.es/gazeta/dias/1818/09/24/pdfs/GMD-1818-115.pdf","Abrir PDF")</f>
        <v>Abrir PDF</v>
      </c>
    </row>
    <row r="120" spans="1:6" ht="31.05" customHeight="1">
      <c r="A120" s="6">
        <v>-29680</v>
      </c>
      <c r="B120" s="2" t="s">
        <v>865</v>
      </c>
      <c r="C120" s="2" t="s">
        <v>10784</v>
      </c>
      <c r="D120" s="3">
        <v>8</v>
      </c>
      <c r="E120" s="3">
        <v>49</v>
      </c>
      <c r="F120" s="3" t="str">
        <f>HYPERLINK("https://www.boe.es/gazeta/dias/1818/09/26/pdfs/GMD-1818-116.pdf","Abrir PDF")</f>
        <v>Abrir PDF</v>
      </c>
    </row>
    <row r="121" spans="1:6" ht="31.05" customHeight="1">
      <c r="A121" s="6">
        <v>-29677</v>
      </c>
      <c r="B121" s="2" t="s">
        <v>157</v>
      </c>
      <c r="C121" s="2" t="s">
        <v>10785</v>
      </c>
      <c r="D121" s="3">
        <v>8</v>
      </c>
      <c r="E121" s="3">
        <v>49</v>
      </c>
      <c r="F121" s="3" t="str">
        <f>HYPERLINK("https://www.boe.es/gazeta/dias/1818/09/29/pdfs/GMD-1818-117.pdf","Abrir PDF")</f>
        <v>Abrir PDF</v>
      </c>
    </row>
    <row r="122" spans="1:6" ht="31.05" customHeight="1">
      <c r="A122" s="6">
        <v>-29675</v>
      </c>
      <c r="B122" s="2" t="s">
        <v>2314</v>
      </c>
      <c r="C122" s="2" t="s">
        <v>10786</v>
      </c>
      <c r="D122" s="3">
        <v>8</v>
      </c>
      <c r="E122" s="3">
        <v>18</v>
      </c>
      <c r="F122" s="3" t="str">
        <f>HYPERLINK("https://www.boe.es/gazeta/dias/1818/10/01/pdfs/GMD-1818-118.pdf","Abrir PDF")</f>
        <v>Abrir PDF</v>
      </c>
    </row>
    <row r="123" spans="1:6" ht="31.05" customHeight="1">
      <c r="A123" s="6">
        <v>-29673</v>
      </c>
      <c r="B123" s="2" t="s">
        <v>1099</v>
      </c>
      <c r="C123" s="2" t="s">
        <v>10787</v>
      </c>
      <c r="D123" s="3">
        <v>8</v>
      </c>
      <c r="E123" s="3">
        <v>38</v>
      </c>
      <c r="F123" s="3" t="str">
        <f>HYPERLINK("https://www.boe.es/gazeta/dias/1818/10/03/pdfs/GMD-1818-119.pdf","Abrir PDF")</f>
        <v>Abrir PDF</v>
      </c>
    </row>
    <row r="124" spans="1:6" ht="31.05" customHeight="1">
      <c r="A124" s="6">
        <v>-29670</v>
      </c>
      <c r="B124" s="2" t="s">
        <v>48</v>
      </c>
      <c r="C124" s="2" t="s">
        <v>10788</v>
      </c>
      <c r="D124" s="3">
        <v>8</v>
      </c>
      <c r="E124" s="3">
        <v>32</v>
      </c>
      <c r="F124" s="3" t="str">
        <f>HYPERLINK("https://www.boe.es/gazeta/dias/1818/10/06/pdfs/GMD-1818-120.pdf","Abrir PDF")</f>
        <v>Abrir PDF</v>
      </c>
    </row>
    <row r="125" spans="1:6" ht="31.05" customHeight="1">
      <c r="A125" s="6">
        <v>-29668</v>
      </c>
      <c r="B125" s="2" t="s">
        <v>2219</v>
      </c>
      <c r="C125" s="2" t="s">
        <v>10789</v>
      </c>
      <c r="D125" s="3">
        <v>8</v>
      </c>
      <c r="E125" s="3">
        <v>13</v>
      </c>
      <c r="F125" s="3" t="str">
        <f>HYPERLINK("https://www.boe.es/gazeta/dias/1818/10/08/pdfs/GMD-1818-121.pdf","Abrir PDF")</f>
        <v>Abrir PDF</v>
      </c>
    </row>
    <row r="126" spans="1:6" ht="31.05" customHeight="1">
      <c r="A126" s="6">
        <v>-29666</v>
      </c>
      <c r="B126" s="2" t="s">
        <v>258</v>
      </c>
      <c r="C126" s="2" t="s">
        <v>10790</v>
      </c>
      <c r="D126" s="3">
        <v>8</v>
      </c>
      <c r="E126" s="3">
        <v>35</v>
      </c>
      <c r="F126" s="3" t="str">
        <f>HYPERLINK("https://www.boe.es/gazeta/dias/1818/10/10/pdfs/GMD-1818-122.pdf","Abrir PDF")</f>
        <v>Abrir PDF</v>
      </c>
    </row>
    <row r="127" spans="1:6" ht="31.05" customHeight="1">
      <c r="A127" s="6">
        <v>-29663</v>
      </c>
      <c r="B127" s="2" t="s">
        <v>1011</v>
      </c>
      <c r="C127" s="2" t="s">
        <v>10791</v>
      </c>
      <c r="D127" s="3">
        <v>8</v>
      </c>
      <c r="E127" s="3">
        <v>38</v>
      </c>
      <c r="F127" s="3" t="str">
        <f>HYPERLINK("https://www.boe.es/gazeta/dias/1818/10/13/pdfs/GMD-1818-123.pdf","Abrir PDF")</f>
        <v>Abrir PDF</v>
      </c>
    </row>
    <row r="128" spans="1:6" ht="31.05" customHeight="1">
      <c r="A128" s="6">
        <v>-29661</v>
      </c>
      <c r="B128" s="2" t="s">
        <v>348</v>
      </c>
      <c r="C128" s="2" t="s">
        <v>10792</v>
      </c>
      <c r="D128" s="3">
        <v>8</v>
      </c>
      <c r="E128" s="3">
        <v>29</v>
      </c>
      <c r="F128" s="3" t="str">
        <f>HYPERLINK("https://www.boe.es/gazeta/dias/1818/10/15/pdfs/GMD-1818-124.pdf","Abrir PDF")</f>
        <v>Abrir PDF</v>
      </c>
    </row>
    <row r="129" spans="1:6" ht="31.05" customHeight="1">
      <c r="A129" s="6">
        <v>-29661</v>
      </c>
      <c r="B129" s="2" t="s">
        <v>669</v>
      </c>
      <c r="C129" s="2" t="s">
        <v>10793</v>
      </c>
      <c r="D129" s="3">
        <v>4</v>
      </c>
      <c r="E129" s="3">
        <v>29</v>
      </c>
      <c r="F129" s="3" t="str">
        <f>HYPERLINK("https://www.boe.es/gazeta/dias/1818/10/15/pdfs/GMD-1818-125E.pdf","Abrir PDF")</f>
        <v>Abrir PDF</v>
      </c>
    </row>
    <row r="130" spans="1:6" ht="31.05" customHeight="1">
      <c r="A130" s="6">
        <v>-29659</v>
      </c>
      <c r="B130" s="2" t="s">
        <v>1690</v>
      </c>
      <c r="C130" s="2" t="s">
        <v>10794</v>
      </c>
      <c r="D130" s="3">
        <v>8</v>
      </c>
      <c r="E130" s="3">
        <v>12</v>
      </c>
      <c r="F130" s="3" t="str">
        <f>HYPERLINK("https://www.boe.es/gazeta/dias/1818/10/17/pdfs/GMD-1818-126.pdf","Abrir PDF")</f>
        <v>Abrir PDF</v>
      </c>
    </row>
    <row r="131" spans="1:6" ht="31.05" customHeight="1">
      <c r="A131" s="6">
        <v>-29656</v>
      </c>
      <c r="B131" s="2" t="s">
        <v>601</v>
      </c>
      <c r="C131" s="2" t="s">
        <v>10795</v>
      </c>
      <c r="D131" s="3">
        <v>8</v>
      </c>
      <c r="E131" s="3">
        <v>36</v>
      </c>
      <c r="F131" s="3" t="str">
        <f>HYPERLINK("https://www.boe.es/gazeta/dias/1818/10/20/pdfs/GMD-1818-127.pdf","Abrir PDF")</f>
        <v>Abrir PDF</v>
      </c>
    </row>
    <row r="132" spans="1:6" ht="31.05" customHeight="1">
      <c r="A132" s="6">
        <v>-29654</v>
      </c>
      <c r="B132" s="2" t="s">
        <v>219</v>
      </c>
      <c r="C132" s="2" t="s">
        <v>10796</v>
      </c>
      <c r="D132" s="3">
        <v>8</v>
      </c>
      <c r="E132" s="3">
        <v>28</v>
      </c>
      <c r="F132" s="3" t="str">
        <f>HYPERLINK("https://www.boe.es/gazeta/dias/1818/10/22/pdfs/GMD-1818-128.pdf","Abrir PDF")</f>
        <v>Abrir PDF</v>
      </c>
    </row>
    <row r="133" spans="1:6" ht="31.05" customHeight="1">
      <c r="A133" s="6">
        <v>-29652</v>
      </c>
      <c r="B133" s="2" t="s">
        <v>741</v>
      </c>
      <c r="C133" s="2" t="s">
        <v>10797</v>
      </c>
      <c r="D133" s="3">
        <v>8</v>
      </c>
      <c r="E133" s="3">
        <v>20</v>
      </c>
      <c r="F133" s="3" t="str">
        <f>HYPERLINK("https://www.boe.es/gazeta/dias/1818/10/24/pdfs/GMD-1818-129.pdf","Abrir PDF")</f>
        <v>Abrir PDF</v>
      </c>
    </row>
    <row r="134" spans="1:6" ht="31.05" customHeight="1">
      <c r="A134" s="6">
        <v>-29649</v>
      </c>
      <c r="B134" s="2" t="s">
        <v>585</v>
      </c>
      <c r="C134" s="2" t="s">
        <v>10798</v>
      </c>
      <c r="D134" s="3">
        <v>8</v>
      </c>
      <c r="E134" s="3">
        <v>18</v>
      </c>
      <c r="F134" s="3" t="str">
        <f>HYPERLINK("https://www.boe.es/gazeta/dias/1818/10/27/pdfs/GMD-1818-130.pdf","Abrir PDF")</f>
        <v>Abrir PDF</v>
      </c>
    </row>
    <row r="135" spans="1:6" ht="31.05" customHeight="1">
      <c r="A135" s="6">
        <v>-29647</v>
      </c>
      <c r="B135" s="2" t="s">
        <v>1547</v>
      </c>
      <c r="C135" s="2" t="s">
        <v>10799</v>
      </c>
      <c r="D135" s="3">
        <v>8</v>
      </c>
      <c r="E135" s="3">
        <v>12</v>
      </c>
      <c r="F135" s="3" t="str">
        <f>HYPERLINK("https://www.boe.es/gazeta/dias/1818/10/29/pdfs/GMD-1818-131.pdf","Abrir PDF")</f>
        <v>Abrir PDF</v>
      </c>
    </row>
    <row r="136" spans="1:6" ht="31.05" customHeight="1">
      <c r="A136" s="6">
        <v>-29645</v>
      </c>
      <c r="B136" s="2" t="s">
        <v>577</v>
      </c>
      <c r="C136" s="2" t="s">
        <v>10800</v>
      </c>
      <c r="D136" s="3">
        <v>8</v>
      </c>
      <c r="E136" s="3">
        <v>24</v>
      </c>
      <c r="F136" s="3" t="str">
        <f>HYPERLINK("https://www.boe.es/gazeta/dias/1818/10/31/pdfs/GMD-1818-132.pdf","Abrir PDF")</f>
        <v>Abrir PDF</v>
      </c>
    </row>
    <row r="137" spans="1:6" ht="31.05" customHeight="1">
      <c r="A137" s="6">
        <v>-29642</v>
      </c>
      <c r="B137" s="2" t="s">
        <v>248</v>
      </c>
      <c r="C137" s="2" t="s">
        <v>10801</v>
      </c>
      <c r="D137" s="3">
        <v>8</v>
      </c>
      <c r="E137" s="3">
        <v>25</v>
      </c>
      <c r="F137" s="3" t="str">
        <f>HYPERLINK("https://www.boe.es/gazeta/dias/1818/11/03/pdfs/GMD-1818-133.pdf","Abrir PDF")</f>
        <v>Abrir PDF</v>
      </c>
    </row>
    <row r="138" spans="1:6" ht="31.05" customHeight="1">
      <c r="A138" s="6">
        <v>-29640</v>
      </c>
      <c r="B138" s="2" t="s">
        <v>75</v>
      </c>
      <c r="C138" s="2" t="s">
        <v>10802</v>
      </c>
      <c r="D138" s="3">
        <v>8</v>
      </c>
      <c r="E138" s="3">
        <v>17</v>
      </c>
      <c r="F138" s="3" t="str">
        <f>HYPERLINK("https://www.boe.es/gazeta/dias/1818/11/05/pdfs/GMD-1818-134.pdf","Abrir PDF")</f>
        <v>Abrir PDF</v>
      </c>
    </row>
    <row r="139" spans="1:6" ht="31.05" customHeight="1">
      <c r="A139" s="6">
        <v>-29638</v>
      </c>
      <c r="B139" s="2" t="s">
        <v>307</v>
      </c>
      <c r="C139" s="2" t="s">
        <v>10803</v>
      </c>
      <c r="D139" s="3">
        <v>8</v>
      </c>
      <c r="E139" s="3">
        <v>20</v>
      </c>
      <c r="F139" s="3" t="str">
        <f>HYPERLINK("https://www.boe.es/gazeta/dias/1818/11/07/pdfs/GMD-1818-135.pdf","Abrir PDF")</f>
        <v>Abrir PDF</v>
      </c>
    </row>
    <row r="140" spans="1:6" ht="31.05" customHeight="1">
      <c r="A140" s="6">
        <v>-29635</v>
      </c>
      <c r="B140" s="2" t="s">
        <v>560</v>
      </c>
      <c r="C140" s="2" t="s">
        <v>10804</v>
      </c>
      <c r="D140" s="3">
        <v>8</v>
      </c>
      <c r="E140" s="3">
        <v>26</v>
      </c>
      <c r="F140" s="3" t="str">
        <f>HYPERLINK("https://www.boe.es/gazeta/dias/1818/11/10/pdfs/GMD-1818-136.pdf","Abrir PDF")</f>
        <v>Abrir PDF</v>
      </c>
    </row>
    <row r="141" spans="1:6" ht="31.05" customHeight="1">
      <c r="A141" s="6">
        <v>-29633</v>
      </c>
      <c r="B141" s="2" t="s">
        <v>2162</v>
      </c>
      <c r="C141" s="2" t="s">
        <v>10805</v>
      </c>
      <c r="D141" s="3">
        <v>8</v>
      </c>
      <c r="E141" s="3">
        <v>11</v>
      </c>
      <c r="F141" s="3" t="str">
        <f>HYPERLINK("https://www.boe.es/gazeta/dias/1818/11/12/pdfs/GMD-1818-137.pdf","Abrir PDF")</f>
        <v>Abrir PDF</v>
      </c>
    </row>
    <row r="142" spans="1:6" ht="31.05" customHeight="1">
      <c r="A142" s="6">
        <v>-29631</v>
      </c>
      <c r="B142" s="2" t="s">
        <v>743</v>
      </c>
      <c r="C142" s="2" t="s">
        <v>10806</v>
      </c>
      <c r="D142" s="3">
        <v>8</v>
      </c>
      <c r="E142" s="3">
        <v>38</v>
      </c>
      <c r="F142" s="3" t="str">
        <f>HYPERLINK("https://www.boe.es/gazeta/dias/1818/11/14/pdfs/GMD-1818-138.pdf","Abrir PDF")</f>
        <v>Abrir PDF</v>
      </c>
    </row>
    <row r="143" spans="1:6" ht="31.05" customHeight="1">
      <c r="A143" s="6">
        <v>-29628</v>
      </c>
      <c r="B143" s="2" t="s">
        <v>58</v>
      </c>
      <c r="C143" s="2" t="s">
        <v>10807</v>
      </c>
      <c r="D143" s="3">
        <v>8</v>
      </c>
      <c r="E143" s="3">
        <v>19</v>
      </c>
      <c r="F143" s="3" t="str">
        <f>HYPERLINK("https://www.boe.es/gazeta/dias/1818/11/17/pdfs/GMD-1818-139.pdf","Abrir PDF")</f>
        <v>Abrir PDF</v>
      </c>
    </row>
    <row r="144" spans="1:6" ht="31.05" customHeight="1">
      <c r="A144" s="6">
        <v>-29626</v>
      </c>
      <c r="B144" s="2" t="s">
        <v>496</v>
      </c>
      <c r="C144" s="2" t="s">
        <v>10808</v>
      </c>
      <c r="D144" s="3">
        <v>8</v>
      </c>
      <c r="E144" s="3">
        <v>35</v>
      </c>
      <c r="F144" s="3" t="str">
        <f>HYPERLINK("https://www.boe.es/gazeta/dias/1818/11/19/pdfs/GMD-1818-140.pdf","Abrir PDF")</f>
        <v>Abrir PDF</v>
      </c>
    </row>
    <row r="145" spans="1:6" ht="31.05" customHeight="1">
      <c r="A145" s="6">
        <v>-29624</v>
      </c>
      <c r="B145" s="2" t="s">
        <v>131</v>
      </c>
      <c r="C145" s="2" t="s">
        <v>10809</v>
      </c>
      <c r="D145" s="3">
        <v>8</v>
      </c>
      <c r="E145" s="3">
        <v>49</v>
      </c>
      <c r="F145" s="3" t="str">
        <f>HYPERLINK("https://www.boe.es/gazeta/dias/1818/11/21/pdfs/GMD-1818-141.pdf","Abrir PDF")</f>
        <v>Abrir PDF</v>
      </c>
    </row>
    <row r="146" spans="1:6" ht="31.05" customHeight="1">
      <c r="A146" s="6">
        <v>-29621</v>
      </c>
      <c r="B146" s="2" t="s">
        <v>1561</v>
      </c>
      <c r="C146" s="2" t="s">
        <v>10810</v>
      </c>
      <c r="D146" s="3">
        <v>8</v>
      </c>
      <c r="E146" s="3">
        <v>22</v>
      </c>
      <c r="F146" s="3" t="str">
        <f>HYPERLINK("https://www.boe.es/gazeta/dias/1818/11/24/pdfs/GMD-1818-142.pdf","Abrir PDF")</f>
        <v>Abrir PDF</v>
      </c>
    </row>
    <row r="147" spans="1:6" ht="31.05" customHeight="1">
      <c r="A147" s="6">
        <v>-29619</v>
      </c>
      <c r="B147" s="2" t="s">
        <v>64</v>
      </c>
      <c r="C147" s="2" t="s">
        <v>10811</v>
      </c>
      <c r="D147" s="3">
        <v>8</v>
      </c>
      <c r="E147" s="3">
        <v>50</v>
      </c>
      <c r="F147" s="3" t="str">
        <f>HYPERLINK("https://www.boe.es/gazeta/dias/1818/11/26/pdfs/GMD-1818-143.pdf","Abrir PDF")</f>
        <v>Abrir PDF</v>
      </c>
    </row>
    <row r="148" spans="1:6" ht="31.05" customHeight="1">
      <c r="A148" s="6">
        <v>-29617</v>
      </c>
      <c r="B148" s="2" t="s">
        <v>995</v>
      </c>
      <c r="C148" s="2" t="s">
        <v>10812</v>
      </c>
      <c r="D148" s="3">
        <v>8</v>
      </c>
      <c r="E148" s="3">
        <v>18</v>
      </c>
      <c r="F148" s="3" t="str">
        <f>HYPERLINK("https://www.boe.es/gazeta/dias/1818/11/28/pdfs/GMD-1818-144.pdf","Abrir PDF")</f>
        <v>Abrir PDF</v>
      </c>
    </row>
    <row r="149" spans="1:6" ht="31.05" customHeight="1">
      <c r="A149" s="6">
        <v>-29614</v>
      </c>
      <c r="B149" s="2" t="s">
        <v>620</v>
      </c>
      <c r="C149" s="2" t="s">
        <v>10813</v>
      </c>
      <c r="D149" s="3">
        <v>8</v>
      </c>
      <c r="E149" s="3">
        <v>22</v>
      </c>
      <c r="F149" s="3" t="str">
        <f>HYPERLINK("https://www.boe.es/gazeta/dias/1818/12/01/pdfs/GMD-1818-145.pdf","Abrir PDF")</f>
        <v>Abrir PDF</v>
      </c>
    </row>
    <row r="150" spans="1:6" ht="31.05" customHeight="1">
      <c r="A150" s="6">
        <v>-29612</v>
      </c>
      <c r="B150" s="2" t="s">
        <v>1765</v>
      </c>
      <c r="C150" s="2" t="s">
        <v>10814</v>
      </c>
      <c r="D150" s="3">
        <v>8</v>
      </c>
      <c r="E150" s="3">
        <v>16</v>
      </c>
      <c r="F150" s="3" t="str">
        <f>HYPERLINK("https://www.boe.es/gazeta/dias/1818/12/03/pdfs/GMD-1818-146.pdf","Abrir PDF")</f>
        <v>Abrir PDF</v>
      </c>
    </row>
    <row r="151" spans="1:6" ht="31.05" customHeight="1">
      <c r="A151" s="6">
        <v>-29610</v>
      </c>
      <c r="B151" s="2" t="s">
        <v>1441</v>
      </c>
      <c r="C151" s="2" t="s">
        <v>10815</v>
      </c>
      <c r="D151" s="3">
        <v>8</v>
      </c>
      <c r="E151" s="3">
        <v>10</v>
      </c>
      <c r="F151" s="3" t="str">
        <f>HYPERLINK("https://www.boe.es/gazeta/dias/1818/12/05/pdfs/GMD-1818-147.pdf","Abrir PDF")</f>
        <v>Abrir PDF</v>
      </c>
    </row>
    <row r="152" spans="1:6" ht="31.05" customHeight="1">
      <c r="A152" s="6">
        <v>-29607</v>
      </c>
      <c r="B152" s="2" t="s">
        <v>704</v>
      </c>
      <c r="C152" s="2" t="s">
        <v>10816</v>
      </c>
      <c r="D152" s="3">
        <v>8</v>
      </c>
      <c r="E152" s="3">
        <v>39</v>
      </c>
      <c r="F152" s="3" t="str">
        <f>HYPERLINK("https://www.boe.es/gazeta/dias/1818/12/08/pdfs/GMD-1818-148.pdf","Abrir PDF")</f>
        <v>Abrir PDF</v>
      </c>
    </row>
    <row r="153" spans="1:6" ht="31.05" customHeight="1">
      <c r="A153" s="6">
        <v>-29605</v>
      </c>
      <c r="B153" s="2" t="s">
        <v>888</v>
      </c>
      <c r="C153" s="2" t="s">
        <v>10817</v>
      </c>
      <c r="D153" s="3">
        <v>8</v>
      </c>
      <c r="E153" s="3">
        <v>30</v>
      </c>
      <c r="F153" s="3" t="str">
        <f>HYPERLINK("https://www.boe.es/gazeta/dias/1818/12/10/pdfs/GMD-1818-149.pdf","Abrir PDF")</f>
        <v>Abrir PDF</v>
      </c>
    </row>
    <row r="154" spans="1:6" ht="31.05" customHeight="1">
      <c r="A154" s="6">
        <v>-29603</v>
      </c>
      <c r="B154" s="2" t="s">
        <v>647</v>
      </c>
      <c r="C154" s="2" t="s">
        <v>10818</v>
      </c>
      <c r="D154" s="3">
        <v>8</v>
      </c>
      <c r="E154" s="3">
        <v>13</v>
      </c>
      <c r="F154" s="3" t="str">
        <f>HYPERLINK("https://www.boe.es/gazeta/dias/1818/12/12/pdfs/GMD-1818-150.pdf","Abrir PDF")</f>
        <v>Abrir PDF</v>
      </c>
    </row>
    <row r="155" spans="1:6" ht="31.05" customHeight="1">
      <c r="A155" s="6">
        <v>-29600</v>
      </c>
      <c r="B155" s="2" t="s">
        <v>697</v>
      </c>
      <c r="C155" s="2" t="s">
        <v>10819</v>
      </c>
      <c r="D155" s="3">
        <v>8</v>
      </c>
      <c r="E155" s="3">
        <v>18</v>
      </c>
      <c r="F155" s="3" t="str">
        <f>HYPERLINK("https://www.boe.es/gazeta/dias/1818/12/15/pdfs/GMD-1818-151.pdf","Abrir PDF")</f>
        <v>Abrir PDF</v>
      </c>
    </row>
    <row r="156" spans="1:6" ht="31.05" customHeight="1">
      <c r="A156" s="6">
        <v>-29598</v>
      </c>
      <c r="B156" s="2" t="s">
        <v>98</v>
      </c>
      <c r="C156" s="2" t="s">
        <v>10820</v>
      </c>
      <c r="D156" s="3">
        <v>8</v>
      </c>
      <c r="E156" s="3">
        <v>31</v>
      </c>
      <c r="F156" s="3" t="str">
        <f>HYPERLINK("https://www.boe.es/gazeta/dias/1818/12/17/pdfs/GMD-1818-152.pdf","Abrir PDF")</f>
        <v>Abrir PDF</v>
      </c>
    </row>
    <row r="157" spans="1:6" ht="31.05" customHeight="1">
      <c r="A157" s="6">
        <v>-29596</v>
      </c>
      <c r="B157" s="2" t="s">
        <v>555</v>
      </c>
      <c r="C157" s="2" t="s">
        <v>10821</v>
      </c>
      <c r="D157" s="3">
        <v>8</v>
      </c>
      <c r="E157" s="3">
        <v>26</v>
      </c>
      <c r="F157" s="3" t="str">
        <f>HYPERLINK("https://www.boe.es/gazeta/dias/1818/12/19/pdfs/GMD-1818-153.pdf","Abrir PDF")</f>
        <v>Abrir PDF</v>
      </c>
    </row>
    <row r="158" spans="1:6" ht="31.05" customHeight="1">
      <c r="A158" s="6">
        <v>-29593</v>
      </c>
      <c r="B158" s="2" t="s">
        <v>185</v>
      </c>
      <c r="C158" s="2" t="s">
        <v>10822</v>
      </c>
      <c r="D158" s="3">
        <v>8</v>
      </c>
      <c r="E158" s="3">
        <v>32</v>
      </c>
      <c r="F158" s="3" t="str">
        <f>HYPERLINK("https://www.boe.es/gazeta/dias/1818/12/22/pdfs/GMD-1818-154.pdf","Abrir PDF")</f>
        <v>Abrir PDF</v>
      </c>
    </row>
    <row r="159" spans="1:6" ht="31.05" customHeight="1">
      <c r="A159" s="6">
        <v>-29591</v>
      </c>
      <c r="B159" s="2" t="s">
        <v>1414</v>
      </c>
      <c r="C159" s="2" t="s">
        <v>10823</v>
      </c>
      <c r="D159" s="3">
        <v>8</v>
      </c>
      <c r="E159" s="3">
        <v>22</v>
      </c>
      <c r="F159" s="3" t="str">
        <f>HYPERLINK("https://www.boe.es/gazeta/dias/1818/12/24/pdfs/GMD-1818-155.pdf","Abrir PDF")</f>
        <v>Abrir PDF</v>
      </c>
    </row>
    <row r="160" spans="1:6" ht="31.05" customHeight="1">
      <c r="A160" s="6">
        <v>-29589</v>
      </c>
      <c r="B160" s="2" t="s">
        <v>210</v>
      </c>
      <c r="C160" s="2" t="s">
        <v>10824</v>
      </c>
      <c r="D160" s="3">
        <v>8</v>
      </c>
      <c r="E160" s="3">
        <v>29</v>
      </c>
      <c r="F160" s="3" t="str">
        <f>HYPERLINK("https://www.boe.es/gazeta/dias/1818/12/26/pdfs/GMD-1818-156.pdf","Abrir PDF")</f>
        <v>Abrir PDF</v>
      </c>
    </row>
    <row r="161" spans="1:6" ht="31.05" customHeight="1">
      <c r="A161" s="6">
        <v>-29588</v>
      </c>
      <c r="B161" s="2" t="s">
        <v>1187</v>
      </c>
      <c r="C161" s="2" t="s">
        <v>10825</v>
      </c>
      <c r="D161" s="3">
        <v>4</v>
      </c>
      <c r="E161" s="3">
        <v>1</v>
      </c>
      <c r="F161" s="3" t="str">
        <f>HYPERLINK("https://www.boe.es/gazeta/dias/1818/12/27/pdfs/GMD-1818-157E.pdf","Abrir PDF")</f>
        <v>Abrir PDF</v>
      </c>
    </row>
    <row r="162" spans="1:6" ht="31.05" customHeight="1">
      <c r="A162" s="6">
        <v>-29586</v>
      </c>
      <c r="B162" s="2" t="s">
        <v>683</v>
      </c>
      <c r="C162" s="2" t="s">
        <v>10826</v>
      </c>
      <c r="D162" s="3">
        <v>8</v>
      </c>
      <c r="E162" s="3">
        <v>34</v>
      </c>
      <c r="F162" s="3" t="str">
        <f>HYPERLINK("https://www.boe.es/gazeta/dias/1818/12/29/pdfs/GMD-1818-158.pdf","Abrir PDF")</f>
        <v>Abrir PDF</v>
      </c>
    </row>
    <row r="163" spans="1:6" ht="31.05" customHeight="1">
      <c r="A163" s="6">
        <v>-29584</v>
      </c>
      <c r="B163" s="2" t="s">
        <v>1002</v>
      </c>
      <c r="C163" s="2" t="s">
        <v>10827</v>
      </c>
      <c r="D163" s="3">
        <v>8</v>
      </c>
      <c r="E163" s="3">
        <v>17</v>
      </c>
      <c r="F163" s="3" t="str">
        <f>HYPERLINK("https://www.boe.es/gazeta/dias/1818/12/31/pdfs/GMD-1818-159.pdf","Abrir PDF")</f>
        <v>Abrir PDF</v>
      </c>
    </row>
    <row r="164" spans="1:6" ht="31.05" customHeight="1">
      <c r="A164" s="4"/>
      <c r="B164" s="2"/>
      <c r="C164" s="2"/>
      <c r="D164" s="3"/>
      <c r="E164" s="3"/>
      <c r="F164" s="3"/>
    </row>
    <row r="165" spans="1:6" ht="31.05" customHeight="1">
      <c r="A165" s="4"/>
      <c r="B165" s="2"/>
      <c r="C165" s="2"/>
      <c r="D165" s="3"/>
      <c r="E165" s="3"/>
      <c r="F165" s="3"/>
    </row>
    <row r="166" spans="1:6" ht="24" customHeight="1">
      <c r="A166" s="13" t="s">
        <v>10828</v>
      </c>
      <c r="B166" s="14"/>
      <c r="C166" s="14"/>
      <c r="D166" s="15"/>
      <c r="E166" s="15"/>
      <c r="F166" s="16"/>
    </row>
    <row r="167" spans="1:6" ht="42" customHeight="1">
      <c r="A167" s="7" t="s">
        <v>10829</v>
      </c>
      <c r="B167" s="17" t="s">
        <v>10830</v>
      </c>
      <c r="C167" s="17"/>
      <c r="D167" s="18"/>
      <c r="E167" s="18"/>
      <c r="F167" s="18"/>
    </row>
    <row r="168" spans="1:6" ht="42" customHeight="1">
      <c r="A168" s="7" t="s">
        <v>10831</v>
      </c>
      <c r="B168" s="17" t="s">
        <v>10832</v>
      </c>
      <c r="C168" s="17"/>
      <c r="D168" s="18"/>
      <c r="E168" s="18"/>
      <c r="F168" s="18"/>
    </row>
    <row r="169" spans="1:6" ht="42" customHeight="1">
      <c r="A169" s="7" t="s">
        <v>10833</v>
      </c>
      <c r="B169" s="17" t="s">
        <v>10834</v>
      </c>
      <c r="C169" s="17"/>
      <c r="D169" s="18"/>
      <c r="E169" s="18"/>
      <c r="F169" s="18"/>
    </row>
    <row r="170" spans="1:6" ht="42" customHeight="1">
      <c r="A170" s="7" t="s">
        <v>10835</v>
      </c>
      <c r="B170" s="17" t="s">
        <v>10836</v>
      </c>
      <c r="C170" s="17"/>
      <c r="D170" s="18"/>
      <c r="E170" s="18"/>
      <c r="F170" s="18"/>
    </row>
    <row r="171" spans="1:6" ht="42" customHeight="1">
      <c r="A171" s="7" t="s">
        <v>10837</v>
      </c>
      <c r="B171" s="17" t="s">
        <v>10838</v>
      </c>
      <c r="C171" s="17"/>
      <c r="D171" s="18"/>
      <c r="E171" s="18"/>
      <c r="F171" s="18"/>
    </row>
    <row r="172" spans="1:6" ht="42" customHeight="1">
      <c r="A172" s="7" t="s">
        <v>10</v>
      </c>
      <c r="B172" s="17" t="s">
        <v>10839</v>
      </c>
      <c r="C172" s="17"/>
      <c r="D172" s="18"/>
      <c r="E172" s="18"/>
      <c r="F172" s="18"/>
    </row>
    <row r="173" spans="1:6" ht="42" customHeight="1">
      <c r="A173" s="7" t="s">
        <v>10840</v>
      </c>
      <c r="B173" s="17" t="s">
        <v>10841</v>
      </c>
      <c r="C173" s="17"/>
      <c r="D173" s="18"/>
      <c r="E173" s="18"/>
      <c r="F173" s="18"/>
    </row>
    <row r="174" spans="1:6" ht="42" customHeight="1">
      <c r="A174" s="7" t="s">
        <v>10842</v>
      </c>
      <c r="B174" s="17" t="s">
        <v>10843</v>
      </c>
      <c r="C174" s="17"/>
      <c r="D174" s="18"/>
      <c r="E174" s="18"/>
      <c r="F174" s="18"/>
    </row>
    <row r="175" spans="1:6" ht="42" customHeight="1">
      <c r="A175" s="7" t="s">
        <v>10844</v>
      </c>
      <c r="B175" s="17" t="s">
        <v>10845</v>
      </c>
      <c r="C175" s="17"/>
      <c r="D175" s="18"/>
      <c r="E175" s="18"/>
      <c r="F175" s="18"/>
    </row>
    <row r="176" spans="1:6" ht="31.05" customHeight="1"/>
    <row r="177" ht="31.05" customHeight="1"/>
    <row r="178" ht="31.05" customHeight="1"/>
    <row r="179" ht="31.05" customHeight="1"/>
    <row r="180" ht="31.05" customHeight="1"/>
    <row r="181" ht="31.05" customHeight="1"/>
    <row r="182" ht="31.05" customHeight="1"/>
    <row r="183" ht="31.05" customHeight="1"/>
    <row r="184" ht="31.05" customHeight="1"/>
    <row r="185" ht="31.05" customHeight="1"/>
    <row r="186" ht="31.05" customHeight="1"/>
    <row r="187" ht="31.05" customHeight="1"/>
    <row r="188" ht="31.05" customHeight="1"/>
    <row r="189" ht="31.05" customHeight="1"/>
    <row r="190" ht="31.05" customHeight="1"/>
    <row r="191" ht="31.05" customHeight="1"/>
    <row r="192"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4:F174"/>
    <mergeCell ref="B175:F175"/>
    <mergeCell ref="B169:F169"/>
    <mergeCell ref="B170:F170"/>
    <mergeCell ref="B171:F171"/>
    <mergeCell ref="B172:F172"/>
    <mergeCell ref="B173:F173"/>
    <mergeCell ref="A1:F1"/>
    <mergeCell ref="A2:F2"/>
    <mergeCell ref="A166:F166"/>
    <mergeCell ref="B167:F167"/>
    <mergeCell ref="B168:F16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2026-09-29T11:31:00Z</dcterms:created>
  <dcterms:modified xsi:type="dcterms:W3CDTF">2026-09-29T11:31:00Z</dcterms:modified>
</cp:coreProperties>
</file>